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765" windowWidth="14805" windowHeight="7350" firstSheet="21" activeTab="25"/>
  </bookViews>
  <sheets>
    <sheet name=" Дох.15" sheetId="2" r:id="rId1"/>
    <sheet name="1 Норм" sheetId="22" r:id="rId2"/>
    <sheet name="2 Адм.дох" sheetId="23" r:id="rId3"/>
    <sheet name="3 Ист.дох" sheetId="21" r:id="rId4"/>
    <sheet name="4 Адм.ОГВ" sheetId="20" r:id="rId5"/>
    <sheet name="5.Адм.ист." sheetId="24" r:id="rId6"/>
    <sheet name="Функц." sheetId="4" state="hidden" r:id="rId7"/>
    <sheet name="6 Вед15" sheetId="15" r:id="rId8"/>
    <sheet name="7 Вед.15-16" sheetId="17" r:id="rId9"/>
    <sheet name="8 МП15" sheetId="16" r:id="rId10"/>
    <sheet name="9 МП15-16" sheetId="5" r:id="rId11"/>
    <sheet name="10.1 Выр.15" sheetId="6" r:id="rId12"/>
    <sheet name="10.2 Сб 15" sheetId="38" r:id="rId13"/>
    <sheet name="10.3 Ком.15" sheetId="9" r:id="rId14"/>
    <sheet name="10.4 В.уч15" sheetId="10" r:id="rId15"/>
    <sheet name="10.5 Прот.15" sheetId="19" r:id="rId16"/>
    <sheet name="10.7 Сб.МР" sheetId="41" r:id="rId17"/>
    <sheet name="10.8 Жилф" sheetId="44" r:id="rId18"/>
    <sheet name="10.9 Газ" sheetId="43" r:id="rId19"/>
    <sheet name="11.1 Выр.16-17" sheetId="11" r:id="rId20"/>
    <sheet name="11.2 СБ.16-17" sheetId="12" r:id="rId21"/>
    <sheet name="11.3 Ком.16-17" sheetId="13" r:id="rId22"/>
    <sheet name="11.4 В.уч.16-17" sheetId="14" r:id="rId23"/>
    <sheet name="11.5 Прот.16-17" sheetId="8" r:id="rId24"/>
    <sheet name="12 Ист.15" sheetId="25" r:id="rId25"/>
    <sheet name="13 Ист.15-16" sheetId="26" r:id="rId26"/>
  </sheets>
  <definedNames>
    <definedName name="_xlnm.Print_Titles" localSheetId="0">' Дох.15'!$5:$5</definedName>
    <definedName name="_xlnm.Print_Titles" localSheetId="7">'6 Вед15'!$7:$7</definedName>
    <definedName name="_xlnm.Print_Titles" localSheetId="8">'7 Вед.15-16'!$5:$5</definedName>
    <definedName name="_xlnm.Print_Titles" localSheetId="9">'8 МП15'!$7:$7</definedName>
    <definedName name="_xlnm.Print_Titles" localSheetId="10">'9 МП15-16'!$7:$7</definedName>
    <definedName name="_xlnm.Print_Titles" localSheetId="6">Функц.!$5:$5</definedName>
  </definedNames>
  <calcPr calcId="145621"/>
</workbook>
</file>

<file path=xl/calcChain.xml><?xml version="1.0" encoding="utf-8"?>
<calcChain xmlns="http://schemas.openxmlformats.org/spreadsheetml/2006/main">
  <c r="C16" i="44" l="1"/>
  <c r="C12" i="43"/>
  <c r="K312" i="16" l="1"/>
  <c r="K315" i="16" s="1"/>
  <c r="L312" i="16"/>
  <c r="L315" i="16" s="1"/>
  <c r="M312" i="16"/>
  <c r="N312" i="16"/>
  <c r="O312" i="16"/>
  <c r="O315" i="16" s="1"/>
  <c r="K313" i="16"/>
  <c r="K316" i="16" s="1"/>
  <c r="L313" i="16"/>
  <c r="M313" i="16"/>
  <c r="N313" i="16"/>
  <c r="N316" i="16" s="1"/>
  <c r="O313" i="16"/>
  <c r="O316" i="16" s="1"/>
  <c r="M315" i="16"/>
  <c r="N315" i="16"/>
  <c r="L316" i="16"/>
  <c r="M316" i="16"/>
  <c r="M105" i="4" l="1"/>
  <c r="Q16" i="5" l="1"/>
  <c r="O16" i="5"/>
  <c r="M13" i="5"/>
  <c r="M33" i="5" l="1"/>
  <c r="O33" i="5"/>
  <c r="P33" i="5"/>
  <c r="L33" i="5"/>
  <c r="M28" i="5"/>
  <c r="O28" i="5"/>
  <c r="P28" i="5"/>
  <c r="L28" i="5"/>
  <c r="L16" i="5"/>
  <c r="M63" i="5"/>
  <c r="L253" i="5" l="1"/>
  <c r="L255" i="5"/>
  <c r="N255" i="5"/>
  <c r="P232" i="5" l="1"/>
  <c r="P231" i="5" s="1"/>
  <c r="M232" i="5"/>
  <c r="M231" i="5" s="1"/>
  <c r="Q212" i="5"/>
  <c r="Q213" i="5"/>
  <c r="Q221" i="5"/>
  <c r="Q233" i="5"/>
  <c r="Q232" i="5" s="1"/>
  <c r="Q231" i="5" s="1"/>
  <c r="N212" i="5"/>
  <c r="N213" i="5"/>
  <c r="N221" i="5"/>
  <c r="N233" i="5"/>
  <c r="N232" i="5" s="1"/>
  <c r="N231" i="5" s="1"/>
  <c r="P55" i="5"/>
  <c r="P54" i="5" s="1"/>
  <c r="P50" i="5"/>
  <c r="P49" i="5" s="1"/>
  <c r="M61" i="5"/>
  <c r="M60" i="5" s="1"/>
  <c r="P61" i="5"/>
  <c r="P60" i="5" s="1"/>
  <c r="Q56" i="5"/>
  <c r="Q55" i="5" s="1"/>
  <c r="Q54" i="5" s="1"/>
  <c r="Q62" i="5"/>
  <c r="Q61" i="5" s="1"/>
  <c r="N64" i="5"/>
  <c r="N63" i="5" s="1"/>
  <c r="N49" i="5"/>
  <c r="N51" i="5"/>
  <c r="Q51" i="5"/>
  <c r="Q50" i="5" s="1"/>
  <c r="M55" i="5"/>
  <c r="M54" i="5" s="1"/>
  <c r="M9" i="5" s="1"/>
  <c r="M8" i="5" s="1"/>
  <c r="M266" i="5" s="1"/>
  <c r="N56" i="5"/>
  <c r="P9" i="5" l="1"/>
  <c r="P8" i="5" s="1"/>
  <c r="P266" i="5" s="1"/>
  <c r="M311" i="4"/>
  <c r="N311" i="4"/>
  <c r="L311" i="4"/>
  <c r="M323" i="15"/>
  <c r="N323" i="15"/>
  <c r="L323" i="15"/>
  <c r="L264" i="16"/>
  <c r="K264" i="16"/>
  <c r="L348" i="16" l="1"/>
  <c r="K348" i="16"/>
  <c r="L372" i="16"/>
  <c r="K372" i="16"/>
  <c r="M312" i="4"/>
  <c r="N312" i="4" s="1"/>
  <c r="N310" i="4" s="1"/>
  <c r="L310" i="4"/>
  <c r="M151" i="4"/>
  <c r="M135" i="4"/>
  <c r="N265" i="16"/>
  <c r="N264" i="16" s="1"/>
  <c r="M265" i="16"/>
  <c r="M264" i="16" s="1"/>
  <c r="N274" i="16"/>
  <c r="N273" i="16" s="1"/>
  <c r="N272" i="16" s="1"/>
  <c r="N378" i="16" s="1"/>
  <c r="M274" i="16"/>
  <c r="M273" i="16" s="1"/>
  <c r="M272" i="16" s="1"/>
  <c r="M378" i="16" s="1"/>
  <c r="L273" i="16"/>
  <c r="L272" i="16" s="1"/>
  <c r="L378" i="16" s="1"/>
  <c r="K273" i="16"/>
  <c r="K272" i="16" s="1"/>
  <c r="K378" i="16" s="1"/>
  <c r="N268" i="16"/>
  <c r="M268" i="16"/>
  <c r="M267" i="16"/>
  <c r="M266" i="16" s="1"/>
  <c r="M372" i="16" s="1"/>
  <c r="M263" i="16" l="1"/>
  <c r="M262" i="16" s="1"/>
  <c r="M348" i="16" s="1"/>
  <c r="N263" i="16"/>
  <c r="N262" i="16" s="1"/>
  <c r="N348" i="16" s="1"/>
  <c r="M310" i="4"/>
  <c r="O268" i="16"/>
  <c r="O267" i="16" s="1"/>
  <c r="O266" i="16" s="1"/>
  <c r="O372" i="16" s="1"/>
  <c r="O265" i="16"/>
  <c r="O264" i="16" s="1"/>
  <c r="O274" i="16"/>
  <c r="O273" i="16" s="1"/>
  <c r="O272" i="16" s="1"/>
  <c r="O378" i="16" s="1"/>
  <c r="N267" i="16"/>
  <c r="N266" i="16" s="1"/>
  <c r="N372" i="16" s="1"/>
  <c r="O263" i="16" l="1"/>
  <c r="O262" i="16" s="1"/>
  <c r="O348" i="16" s="1"/>
  <c r="M103" i="15"/>
  <c r="N298" i="15"/>
  <c r="M297" i="15"/>
  <c r="M296" i="15" s="1"/>
  <c r="M295" i="15" s="1"/>
  <c r="L297" i="15"/>
  <c r="N297" i="15" s="1"/>
  <c r="N296" i="15" s="1"/>
  <c r="N295" i="15" s="1"/>
  <c r="N294" i="15"/>
  <c r="M293" i="15"/>
  <c r="M292" i="15" s="1"/>
  <c r="M291" i="15" s="1"/>
  <c r="L293" i="15"/>
  <c r="N293" i="15" s="1"/>
  <c r="L292" i="15"/>
  <c r="K291" i="15"/>
  <c r="J291" i="15"/>
  <c r="J290" i="15" s="1"/>
  <c r="K290" i="15"/>
  <c r="C14" i="41"/>
  <c r="M125" i="15"/>
  <c r="M229" i="15"/>
  <c r="H74" i="2"/>
  <c r="P74" i="2"/>
  <c r="M259" i="15"/>
  <c r="M39" i="15"/>
  <c r="N324" i="15"/>
  <c r="N322" i="15" s="1"/>
  <c r="M322" i="15"/>
  <c r="M290" i="15" l="1"/>
  <c r="N292" i="15"/>
  <c r="N291" i="15" s="1"/>
  <c r="N290" i="15" s="1"/>
  <c r="L291" i="15"/>
  <c r="L296" i="15"/>
  <c r="L295" i="15" s="1"/>
  <c r="L322" i="15"/>
  <c r="L290" i="15" l="1"/>
  <c r="L336" i="16" l="1"/>
  <c r="K336" i="16"/>
  <c r="M150" i="4"/>
  <c r="M149" i="4" s="1"/>
  <c r="L151" i="4"/>
  <c r="L150" i="4"/>
  <c r="N151" i="4" l="1"/>
  <c r="N150" i="4"/>
  <c r="N149" i="4" s="1"/>
  <c r="L149" i="4"/>
  <c r="G20" i="25"/>
  <c r="M134" i="4" l="1"/>
  <c r="L135" i="4"/>
  <c r="L134" i="4"/>
  <c r="L133" i="4"/>
  <c r="N135" i="4" l="1"/>
  <c r="N134" i="4"/>
  <c r="M133" i="4"/>
  <c r="N30" i="16"/>
  <c r="O30" i="16" s="1"/>
  <c r="O29" i="16" s="1"/>
  <c r="O28" i="16" s="1"/>
  <c r="O336" i="16" s="1"/>
  <c r="M29" i="16"/>
  <c r="M28" i="16" s="1"/>
  <c r="M336" i="16" s="1"/>
  <c r="M104" i="4"/>
  <c r="M103" i="4" s="1"/>
  <c r="L104" i="4"/>
  <c r="L103" i="4"/>
  <c r="N75" i="15"/>
  <c r="M74" i="15"/>
  <c r="M73" i="15" s="1"/>
  <c r="L74" i="15"/>
  <c r="L73" i="15"/>
  <c r="N73" i="15" l="1"/>
  <c r="N133" i="4"/>
  <c r="N105" i="4"/>
  <c r="N104" i="4" s="1"/>
  <c r="N103" i="4" s="1"/>
  <c r="N29" i="16"/>
  <c r="N28" i="16" s="1"/>
  <c r="N336" i="16" s="1"/>
  <c r="N74" i="15"/>
  <c r="D14" i="10" l="1"/>
  <c r="E13" i="10"/>
  <c r="E12" i="10"/>
  <c r="E11" i="10"/>
  <c r="E10" i="10"/>
  <c r="E9" i="10"/>
  <c r="E8" i="10"/>
  <c r="E14" i="10" l="1"/>
  <c r="E8" i="38"/>
  <c r="E9" i="38"/>
  <c r="E10" i="38"/>
  <c r="E11" i="38"/>
  <c r="E12" i="38"/>
  <c r="E7" i="38"/>
  <c r="D13" i="38"/>
  <c r="H9" i="12"/>
  <c r="G15" i="12"/>
  <c r="H14" i="12"/>
  <c r="H13" i="12"/>
  <c r="H12" i="12"/>
  <c r="H11" i="12"/>
  <c r="H10" i="12"/>
  <c r="D15" i="12"/>
  <c r="E14" i="12"/>
  <c r="E13" i="12"/>
  <c r="E12" i="12"/>
  <c r="E11" i="12"/>
  <c r="E10" i="12"/>
  <c r="E9" i="12"/>
  <c r="D13" i="11"/>
  <c r="D14" i="26"/>
  <c r="D10" i="26"/>
  <c r="N273" i="17"/>
  <c r="L274" i="17"/>
  <c r="L273" i="17" s="1"/>
  <c r="M274" i="17"/>
  <c r="M273" i="17" s="1"/>
  <c r="N274" i="17"/>
  <c r="O274" i="17"/>
  <c r="O273" i="17" s="1"/>
  <c r="P274" i="17"/>
  <c r="P273" i="17" s="1"/>
  <c r="N269" i="17"/>
  <c r="L270" i="17"/>
  <c r="L269" i="17" s="1"/>
  <c r="M270" i="17"/>
  <c r="M269" i="17" s="1"/>
  <c r="N270" i="17"/>
  <c r="O270" i="17"/>
  <c r="O269" i="17" s="1"/>
  <c r="P270" i="17"/>
  <c r="P269" i="17" s="1"/>
  <c r="F10" i="26"/>
  <c r="F9" i="26" s="1"/>
  <c r="F8" i="26" s="1"/>
  <c r="F7" i="26" s="1"/>
  <c r="G10" i="26"/>
  <c r="E10" i="26"/>
  <c r="E9" i="26" s="1"/>
  <c r="E8" i="26" s="1"/>
  <c r="E7" i="26" s="1"/>
  <c r="L104" i="17"/>
  <c r="M104" i="17"/>
  <c r="M101" i="17" s="1"/>
  <c r="N104" i="17"/>
  <c r="N101" i="17" s="1"/>
  <c r="O104" i="17"/>
  <c r="P104" i="17"/>
  <c r="P101" i="17" s="1"/>
  <c r="O101" i="17"/>
  <c r="N102" i="17"/>
  <c r="O102" i="17"/>
  <c r="P102" i="17"/>
  <c r="L102" i="17"/>
  <c r="L101" i="17" s="1"/>
  <c r="M102" i="17"/>
  <c r="N49" i="17"/>
  <c r="L50" i="17"/>
  <c r="L49" i="17" s="1"/>
  <c r="M50" i="17"/>
  <c r="M49" i="17" s="1"/>
  <c r="N50" i="17"/>
  <c r="O50" i="17"/>
  <c r="O49" i="17" s="1"/>
  <c r="L47" i="17"/>
  <c r="M47" i="17"/>
  <c r="N47" i="17"/>
  <c r="O47" i="17"/>
  <c r="P47" i="17"/>
  <c r="L45" i="17"/>
  <c r="L44" i="17" s="1"/>
  <c r="M45" i="17"/>
  <c r="N45" i="17"/>
  <c r="O45" i="17"/>
  <c r="O44" i="17" s="1"/>
  <c r="E13" i="38" l="1"/>
  <c r="E15" i="12"/>
  <c r="H15" i="12"/>
  <c r="N44" i="17"/>
  <c r="N32" i="17" s="1"/>
  <c r="M44" i="17"/>
  <c r="L8" i="17"/>
  <c r="L7" i="17" s="1"/>
  <c r="L6" i="17" s="1"/>
  <c r="M8" i="17"/>
  <c r="N8" i="17"/>
  <c r="O8" i="17"/>
  <c r="O7" i="17" s="1"/>
  <c r="P8" i="17"/>
  <c r="L24" i="17"/>
  <c r="M24" i="17"/>
  <c r="N24" i="17"/>
  <c r="O24" i="17"/>
  <c r="P24" i="17"/>
  <c r="L28" i="17"/>
  <c r="M28" i="17"/>
  <c r="N28" i="17"/>
  <c r="O28" i="17"/>
  <c r="P28" i="17"/>
  <c r="L32" i="17"/>
  <c r="M32" i="17"/>
  <c r="M7" i="17" s="1"/>
  <c r="M6" i="17" s="1"/>
  <c r="O32" i="17"/>
  <c r="N55" i="17"/>
  <c r="L56" i="17"/>
  <c r="L55" i="17" s="1"/>
  <c r="M56" i="17"/>
  <c r="M55" i="17" s="1"/>
  <c r="N56" i="17"/>
  <c r="O56" i="17"/>
  <c r="O55" i="17" s="1"/>
  <c r="P56" i="17"/>
  <c r="P55" i="17" s="1"/>
  <c r="N62" i="17"/>
  <c r="L63" i="17"/>
  <c r="L62" i="17" s="1"/>
  <c r="M63" i="17"/>
  <c r="M62" i="17" s="1"/>
  <c r="N63" i="17"/>
  <c r="O63" i="17"/>
  <c r="O62" i="17" s="1"/>
  <c r="P63" i="17"/>
  <c r="P62" i="17" s="1"/>
  <c r="N69" i="17"/>
  <c r="L70" i="17"/>
  <c r="L69" i="17" s="1"/>
  <c r="M70" i="17"/>
  <c r="M69" i="17" s="1"/>
  <c r="N70" i="17"/>
  <c r="O70" i="17"/>
  <c r="O69" i="17" s="1"/>
  <c r="P70" i="17"/>
  <c r="P69" i="17" s="1"/>
  <c r="L77" i="17"/>
  <c r="M77" i="17"/>
  <c r="N77" i="17"/>
  <c r="O77" i="17"/>
  <c r="P77" i="17"/>
  <c r="L81" i="17"/>
  <c r="M81" i="17"/>
  <c r="N81" i="17"/>
  <c r="O81" i="17"/>
  <c r="P81" i="17"/>
  <c r="N90" i="17"/>
  <c r="L91" i="17"/>
  <c r="L90" i="17" s="1"/>
  <c r="M91" i="17"/>
  <c r="M90" i="17" s="1"/>
  <c r="N91" i="17"/>
  <c r="O91" i="17"/>
  <c r="O90" i="17" s="1"/>
  <c r="P91" i="17"/>
  <c r="P90" i="17" s="1"/>
  <c r="L95" i="17"/>
  <c r="M95" i="17"/>
  <c r="N95" i="17"/>
  <c r="O95" i="17"/>
  <c r="P95" i="17"/>
  <c r="L100" i="17"/>
  <c r="L99" i="17" s="1"/>
  <c r="M100" i="17"/>
  <c r="M99" i="17" s="1"/>
  <c r="N100" i="17"/>
  <c r="N99" i="17" s="1"/>
  <c r="O100" i="17"/>
  <c r="O99" i="17" s="1"/>
  <c r="P100" i="17"/>
  <c r="P99" i="17" s="1"/>
  <c r="N106" i="17"/>
  <c r="L107" i="17"/>
  <c r="L106" i="17" s="1"/>
  <c r="M107" i="17"/>
  <c r="M106" i="17" s="1"/>
  <c r="N107" i="17"/>
  <c r="O107" i="17"/>
  <c r="O106" i="17" s="1"/>
  <c r="P107" i="17"/>
  <c r="P106" i="17" s="1"/>
  <c r="L129" i="17"/>
  <c r="M129" i="17"/>
  <c r="N129" i="17"/>
  <c r="O129" i="17"/>
  <c r="P129" i="17"/>
  <c r="N133" i="17"/>
  <c r="L134" i="17"/>
  <c r="L133" i="17" s="1"/>
  <c r="M134" i="17"/>
  <c r="M133" i="17" s="1"/>
  <c r="N134" i="17"/>
  <c r="O134" i="17"/>
  <c r="O133" i="17" s="1"/>
  <c r="P134" i="17"/>
  <c r="P133" i="17" s="1"/>
  <c r="L138" i="17"/>
  <c r="M138" i="17"/>
  <c r="N138" i="17"/>
  <c r="O138" i="17"/>
  <c r="P138" i="17"/>
  <c r="L142" i="17"/>
  <c r="M142" i="17"/>
  <c r="N142" i="17"/>
  <c r="O142" i="17"/>
  <c r="P142" i="17"/>
  <c r="L146" i="17"/>
  <c r="M146" i="17"/>
  <c r="N146" i="17"/>
  <c r="O146" i="17"/>
  <c r="P146" i="17"/>
  <c r="N152" i="17"/>
  <c r="L153" i="17"/>
  <c r="L152" i="17" s="1"/>
  <c r="M153" i="17"/>
  <c r="M152" i="17" s="1"/>
  <c r="N153" i="17"/>
  <c r="O153" i="17"/>
  <c r="O152" i="17" s="1"/>
  <c r="P153" i="17"/>
  <c r="P152" i="17" s="1"/>
  <c r="M161" i="17"/>
  <c r="M160" i="17" s="1"/>
  <c r="L162" i="17"/>
  <c r="L161" i="17" s="1"/>
  <c r="L160" i="17" s="1"/>
  <c r="M162" i="17"/>
  <c r="N162" i="17"/>
  <c r="N161" i="17" s="1"/>
  <c r="N160" i="17" s="1"/>
  <c r="O162" i="17"/>
  <c r="O161" i="17" s="1"/>
  <c r="O160" i="17" s="1"/>
  <c r="P162" i="17"/>
  <c r="P161" i="17" s="1"/>
  <c r="P160" i="17" s="1"/>
  <c r="N214" i="17"/>
  <c r="L215" i="17"/>
  <c r="L214" i="17" s="1"/>
  <c r="M215" i="17"/>
  <c r="M214" i="17" s="1"/>
  <c r="N215" i="17"/>
  <c r="O215" i="17"/>
  <c r="O214" i="17" s="1"/>
  <c r="P215" i="17"/>
  <c r="P214" i="17" s="1"/>
  <c r="L219" i="17"/>
  <c r="M219" i="17"/>
  <c r="N219" i="17"/>
  <c r="O219" i="17"/>
  <c r="P219" i="17"/>
  <c r="L231" i="17"/>
  <c r="M231" i="17"/>
  <c r="N231" i="17"/>
  <c r="O231" i="17"/>
  <c r="P231" i="17"/>
  <c r="M243" i="17"/>
  <c r="L244" i="17"/>
  <c r="L243" i="17" s="1"/>
  <c r="M244" i="17"/>
  <c r="N244" i="17"/>
  <c r="N243" i="17" s="1"/>
  <c r="O244" i="17"/>
  <c r="O243" i="17" s="1"/>
  <c r="P244" i="17"/>
  <c r="P243" i="17" s="1"/>
  <c r="L253" i="17"/>
  <c r="M253" i="17"/>
  <c r="N253" i="17"/>
  <c r="O253" i="17"/>
  <c r="P253" i="17"/>
  <c r="N257" i="17"/>
  <c r="L258" i="17"/>
  <c r="L257" i="17" s="1"/>
  <c r="M258" i="17"/>
  <c r="M257" i="17" s="1"/>
  <c r="N258" i="17"/>
  <c r="O258" i="17"/>
  <c r="O257" i="17" s="1"/>
  <c r="P258" i="17"/>
  <c r="P257" i="17" s="1"/>
  <c r="N262" i="17"/>
  <c r="L263" i="17"/>
  <c r="L262" i="17" s="1"/>
  <c r="M263" i="17"/>
  <c r="M262" i="17" s="1"/>
  <c r="N263" i="17"/>
  <c r="O263" i="17"/>
  <c r="O262" i="17" s="1"/>
  <c r="P263" i="17"/>
  <c r="P262" i="17" s="1"/>
  <c r="L268" i="17"/>
  <c r="O268" i="17"/>
  <c r="L272" i="17"/>
  <c r="O272" i="17"/>
  <c r="L277" i="17"/>
  <c r="L276" i="17" s="1"/>
  <c r="O277" i="17"/>
  <c r="O276" i="17" s="1"/>
  <c r="L282" i="17"/>
  <c r="L281" i="17" s="1"/>
  <c r="L280" i="17" s="1"/>
  <c r="O282" i="17"/>
  <c r="O281" i="17" s="1"/>
  <c r="O280" i="17" s="1"/>
  <c r="L286" i="17"/>
  <c r="O286" i="17"/>
  <c r="K288" i="17"/>
  <c r="K290" i="17"/>
  <c r="K292" i="17"/>
  <c r="K298" i="17"/>
  <c r="K300" i="17"/>
  <c r="K303" i="17"/>
  <c r="K302" i="17" s="1"/>
  <c r="L296" i="17"/>
  <c r="L295" i="17" s="1"/>
  <c r="L294" i="17" s="1"/>
  <c r="O296" i="17"/>
  <c r="O295" i="17" s="1"/>
  <c r="O294" i="17" s="1"/>
  <c r="P301" i="17"/>
  <c r="P299" i="17"/>
  <c r="P293" i="17"/>
  <c r="P291" i="17"/>
  <c r="P289" i="17"/>
  <c r="P285" i="17"/>
  <c r="P275" i="17"/>
  <c r="P271" i="17"/>
  <c r="P266" i="17"/>
  <c r="P261" i="17"/>
  <c r="P256" i="17"/>
  <c r="P252" i="17"/>
  <c r="P251" i="17"/>
  <c r="P241" i="17"/>
  <c r="P239" i="17"/>
  <c r="P236" i="17"/>
  <c r="P234" i="17"/>
  <c r="P230" i="17"/>
  <c r="P222" i="17"/>
  <c r="P218" i="17"/>
  <c r="P213" i="17"/>
  <c r="P210" i="17"/>
  <c r="P208" i="17"/>
  <c r="P201" i="17"/>
  <c r="P197" i="17"/>
  <c r="P193" i="17"/>
  <c r="P187" i="17"/>
  <c r="P184" i="17"/>
  <c r="P171" i="17"/>
  <c r="P159" i="17"/>
  <c r="P156" i="17"/>
  <c r="P151" i="17"/>
  <c r="P149" i="17"/>
  <c r="P145" i="17"/>
  <c r="P141" i="17"/>
  <c r="P137" i="17"/>
  <c r="P132" i="17"/>
  <c r="P128" i="17"/>
  <c r="P125" i="17"/>
  <c r="P122" i="17"/>
  <c r="P119" i="17"/>
  <c r="P116" i="17"/>
  <c r="P105" i="17"/>
  <c r="P103" i="17"/>
  <c r="P98" i="17"/>
  <c r="P89" i="17"/>
  <c r="P86" i="17"/>
  <c r="P84" i="17"/>
  <c r="P80" i="17"/>
  <c r="P76" i="17"/>
  <c r="P73" i="17"/>
  <c r="P68" i="17"/>
  <c r="P66" i="17"/>
  <c r="P61" i="17"/>
  <c r="P59" i="17"/>
  <c r="P54" i="17"/>
  <c r="P51" i="17"/>
  <c r="P50" i="17" s="1"/>
  <c r="P49" i="17" s="1"/>
  <c r="P48" i="17"/>
  <c r="P46" i="17"/>
  <c r="P45" i="17" s="1"/>
  <c r="P44" i="17" s="1"/>
  <c r="P43" i="17"/>
  <c r="P40" i="17"/>
  <c r="P35" i="17"/>
  <c r="P31" i="17"/>
  <c r="P27" i="17"/>
  <c r="P23" i="17"/>
  <c r="P20" i="17"/>
  <c r="P19" i="17"/>
  <c r="P16" i="17"/>
  <c r="P14" i="17"/>
  <c r="P11" i="17"/>
  <c r="P10" i="17"/>
  <c r="P9" i="17" s="1"/>
  <c r="M14" i="17"/>
  <c r="M16" i="17"/>
  <c r="M19" i="17"/>
  <c r="M20" i="17"/>
  <c r="M23" i="17"/>
  <c r="M27" i="17"/>
  <c r="M31" i="17"/>
  <c r="M35" i="17"/>
  <c r="M40" i="17"/>
  <c r="M43" i="17"/>
  <c r="M46" i="17"/>
  <c r="M48" i="17"/>
  <c r="M51" i="17"/>
  <c r="M54" i="17"/>
  <c r="M59" i="17"/>
  <c r="M61" i="17"/>
  <c r="M66" i="17"/>
  <c r="M68" i="17"/>
  <c r="M73" i="17"/>
  <c r="M76" i="17"/>
  <c r="M80" i="17"/>
  <c r="M84" i="17"/>
  <c r="M86" i="17"/>
  <c r="M89" i="17"/>
  <c r="M98" i="17"/>
  <c r="M103" i="17"/>
  <c r="M105" i="17"/>
  <c r="M116" i="17"/>
  <c r="M119" i="17"/>
  <c r="M122" i="17"/>
  <c r="M125" i="17"/>
  <c r="M128" i="17"/>
  <c r="M132" i="17"/>
  <c r="M137" i="17"/>
  <c r="M141" i="17"/>
  <c r="M145" i="17"/>
  <c r="M149" i="17"/>
  <c r="M151" i="17"/>
  <c r="M156" i="17"/>
  <c r="M159" i="17"/>
  <c r="M171" i="17"/>
  <c r="M184" i="17"/>
  <c r="M187" i="17"/>
  <c r="M193" i="17"/>
  <c r="M197" i="17"/>
  <c r="M201" i="17"/>
  <c r="M208" i="17"/>
  <c r="M210" i="17"/>
  <c r="M213" i="17"/>
  <c r="M218" i="17"/>
  <c r="M222" i="17"/>
  <c r="M230" i="17"/>
  <c r="M234" i="17"/>
  <c r="M236" i="17"/>
  <c r="M239" i="17"/>
  <c r="M241" i="17"/>
  <c r="M251" i="17"/>
  <c r="M252" i="17"/>
  <c r="M256" i="17"/>
  <c r="M261" i="17"/>
  <c r="M266" i="17"/>
  <c r="M271" i="17"/>
  <c r="M275" i="17"/>
  <c r="M285" i="17"/>
  <c r="M11" i="17"/>
  <c r="M10" i="17" s="1"/>
  <c r="M9" i="17" s="1"/>
  <c r="O9" i="17"/>
  <c r="L10" i="17"/>
  <c r="L9" i="17" s="1"/>
  <c r="N10" i="17"/>
  <c r="N9" i="17" s="1"/>
  <c r="O10" i="17"/>
  <c r="L242" i="17" l="1"/>
  <c r="O6" i="17"/>
  <c r="P32" i="17"/>
  <c r="P7" i="17"/>
  <c r="P6" i="17" s="1"/>
  <c r="N7" i="17"/>
  <c r="N6" i="17" s="1"/>
  <c r="K287" i="17"/>
  <c r="O267" i="17"/>
  <c r="O242" i="17" s="1"/>
  <c r="O305" i="17" s="1"/>
  <c r="H14" i="26" s="1"/>
  <c r="H13" i="26" s="1"/>
  <c r="H12" i="26" s="1"/>
  <c r="H11" i="26" s="1"/>
  <c r="L267" i="17"/>
  <c r="K297" i="17"/>
  <c r="K296" i="17" s="1"/>
  <c r="K295" i="17" s="1"/>
  <c r="K294" i="17" s="1"/>
  <c r="L305" i="17"/>
  <c r="E14" i="26" s="1"/>
  <c r="E13" i="26" s="1"/>
  <c r="E12" i="26" s="1"/>
  <c r="E11" i="26" s="1"/>
  <c r="E6" i="26" s="1"/>
  <c r="E15" i="26" s="1"/>
  <c r="M301" i="17"/>
  <c r="M300" i="17" l="1"/>
  <c r="M387" i="16"/>
  <c r="N387" i="16"/>
  <c r="O387" i="16"/>
  <c r="L387" i="16"/>
  <c r="K387" i="16"/>
  <c r="M114" i="4"/>
  <c r="K114" i="4"/>
  <c r="L114" i="4" s="1"/>
  <c r="L113" i="4" s="1"/>
  <c r="M139" i="4"/>
  <c r="K139" i="4"/>
  <c r="L139" i="4" s="1"/>
  <c r="M148" i="4"/>
  <c r="K148" i="4"/>
  <c r="L148" i="4" s="1"/>
  <c r="M175" i="4"/>
  <c r="K175" i="4"/>
  <c r="L175" i="4" s="1"/>
  <c r="N114" i="4" l="1"/>
  <c r="M299" i="17"/>
  <c r="O400" i="16"/>
  <c r="N400" i="16"/>
  <c r="N303" i="16"/>
  <c r="N302" i="16" s="1"/>
  <c r="N301" i="16" s="1"/>
  <c r="N324" i="16" s="1"/>
  <c r="N300" i="16"/>
  <c r="N299" i="16" s="1"/>
  <c r="N298" i="16"/>
  <c r="N297" i="16" s="1"/>
  <c r="N294" i="16"/>
  <c r="N292" i="16"/>
  <c r="N290" i="16"/>
  <c r="N289" i="16" s="1"/>
  <c r="N287" i="16"/>
  <c r="N286" i="16" s="1"/>
  <c r="N285" i="16" s="1"/>
  <c r="N320" i="16" s="1"/>
  <c r="N283" i="16"/>
  <c r="N282" i="16" s="1"/>
  <c r="N281" i="16" s="1"/>
  <c r="N280" i="16" s="1"/>
  <c r="N279" i="16"/>
  <c r="N278" i="16" s="1"/>
  <c r="N277" i="16" s="1"/>
  <c r="N271" i="16"/>
  <c r="N270" i="16" s="1"/>
  <c r="N269" i="16" s="1"/>
  <c r="N261" i="16"/>
  <c r="N260" i="16"/>
  <c r="N256" i="16"/>
  <c r="N255" i="16"/>
  <c r="N251" i="16"/>
  <c r="N250" i="16" s="1"/>
  <c r="N249" i="16" s="1"/>
  <c r="N248" i="16"/>
  <c r="N247" i="16" s="1"/>
  <c r="N246" i="16" s="1"/>
  <c r="N244" i="16"/>
  <c r="N243" i="16" s="1"/>
  <c r="N242" i="16"/>
  <c r="N240" i="16"/>
  <c r="N239" i="16" s="1"/>
  <c r="N235" i="16"/>
  <c r="N234" i="16" s="1"/>
  <c r="N233" i="16" s="1"/>
  <c r="N376" i="16" s="1"/>
  <c r="N232" i="16"/>
  <c r="N231" i="16" s="1"/>
  <c r="N230" i="16" s="1"/>
  <c r="N373" i="16" s="1"/>
  <c r="N229" i="16"/>
  <c r="N228" i="16" s="1"/>
  <c r="N227" i="16" s="1"/>
  <c r="N370" i="16" s="1"/>
  <c r="N226" i="16"/>
  <c r="N225" i="16" s="1"/>
  <c r="N224" i="16" s="1"/>
  <c r="N223" i="16"/>
  <c r="N222" i="16" s="1"/>
  <c r="N221" i="16"/>
  <c r="N220" i="16" s="1"/>
  <c r="N219" i="16"/>
  <c r="N218" i="16" s="1"/>
  <c r="N217" i="16"/>
  <c r="N216" i="16" s="1"/>
  <c r="N214" i="16"/>
  <c r="N213" i="16" s="1"/>
  <c r="N211" i="16"/>
  <c r="N210" i="16" s="1"/>
  <c r="N209" i="16" s="1"/>
  <c r="N345" i="16" s="1"/>
  <c r="N208" i="16"/>
  <c r="N207" i="16" s="1"/>
  <c r="N206" i="16"/>
  <c r="N205" i="16" s="1"/>
  <c r="N203" i="16"/>
  <c r="N202" i="16" s="1"/>
  <c r="N201" i="16" s="1"/>
  <c r="N343" i="16" s="1"/>
  <c r="N200" i="16"/>
  <c r="N199" i="16" s="1"/>
  <c r="N198" i="16" s="1"/>
  <c r="N342" i="16" s="1"/>
  <c r="N197" i="16"/>
  <c r="N196" i="16" s="1"/>
  <c r="N195" i="16" s="1"/>
  <c r="N341" i="16" s="1"/>
  <c r="N194" i="16"/>
  <c r="N193" i="16" s="1"/>
  <c r="N192" i="16"/>
  <c r="N191" i="16" s="1"/>
  <c r="N189" i="16"/>
  <c r="N188" i="16" s="1"/>
  <c r="N187" i="16"/>
  <c r="N186" i="16" s="1"/>
  <c r="N185" i="16"/>
  <c r="N184" i="16" s="1"/>
  <c r="N183" i="16"/>
  <c r="N182" i="16" s="1"/>
  <c r="N180" i="16"/>
  <c r="N179" i="16" s="1"/>
  <c r="N178" i="16" s="1"/>
  <c r="N332" i="16" s="1"/>
  <c r="N177" i="16"/>
  <c r="N176" i="16" s="1"/>
  <c r="N175" i="16" s="1"/>
  <c r="N331" i="16" s="1"/>
  <c r="N174" i="16"/>
  <c r="N173" i="16" s="1"/>
  <c r="N172" i="16" s="1"/>
  <c r="N330" i="16" s="1"/>
  <c r="N171" i="16"/>
  <c r="N170" i="16" s="1"/>
  <c r="N169" i="16" s="1"/>
  <c r="N166" i="16"/>
  <c r="N165" i="16" s="1"/>
  <c r="N164" i="16" s="1"/>
  <c r="N161" i="16"/>
  <c r="N160" i="16" s="1"/>
  <c r="N159" i="16" s="1"/>
  <c r="N156" i="16"/>
  <c r="N155" i="16" s="1"/>
  <c r="N154" i="16" s="1"/>
  <c r="N374" i="16" s="1"/>
  <c r="N153" i="16"/>
  <c r="N152" i="16" s="1"/>
  <c r="N151" i="16"/>
  <c r="N150" i="16" s="1"/>
  <c r="N148" i="16"/>
  <c r="N147" i="16" s="1"/>
  <c r="N146" i="16" s="1"/>
  <c r="N349" i="16" s="1"/>
  <c r="N143" i="16"/>
  <c r="N142" i="16" s="1"/>
  <c r="N141" i="16" s="1"/>
  <c r="N355" i="16" s="1"/>
  <c r="N140" i="16"/>
  <c r="N139" i="16" s="1"/>
  <c r="N138" i="16" s="1"/>
  <c r="N354" i="16" s="1"/>
  <c r="N135" i="16"/>
  <c r="N134" i="16" s="1"/>
  <c r="N133" i="16" s="1"/>
  <c r="N130" i="16"/>
  <c r="N129" i="16" s="1"/>
  <c r="N128" i="16" s="1"/>
  <c r="N127" i="16"/>
  <c r="N126" i="16" s="1"/>
  <c r="N125" i="16" s="1"/>
  <c r="N363" i="16" s="1"/>
  <c r="N124" i="16"/>
  <c r="N123" i="16" s="1"/>
  <c r="N122" i="16" s="1"/>
  <c r="N362" i="16" s="1"/>
  <c r="N121" i="16"/>
  <c r="N120" i="16" s="1"/>
  <c r="N119" i="16" s="1"/>
  <c r="N118" i="16"/>
  <c r="N117" i="16" s="1"/>
  <c r="N116" i="16" s="1"/>
  <c r="N329" i="16" s="1"/>
  <c r="N115" i="16"/>
  <c r="N114" i="16" s="1"/>
  <c r="N113" i="16" s="1"/>
  <c r="N328" i="16" s="1"/>
  <c r="N112" i="16"/>
  <c r="N111" i="16" s="1"/>
  <c r="N110" i="16" s="1"/>
  <c r="N327" i="16" s="1"/>
  <c r="N109" i="16"/>
  <c r="N108" i="16" s="1"/>
  <c r="N107" i="16" s="1"/>
  <c r="N326" i="16" s="1"/>
  <c r="N104" i="16"/>
  <c r="N103" i="16" s="1"/>
  <c r="N102" i="16" s="1"/>
  <c r="N365" i="16" s="1"/>
  <c r="N101" i="16"/>
  <c r="N100" i="16" s="1"/>
  <c r="N96" i="16"/>
  <c r="N93" i="16"/>
  <c r="N92" i="16" s="1"/>
  <c r="N91" i="16" s="1"/>
  <c r="N379" i="16" s="1"/>
  <c r="N90" i="16"/>
  <c r="N89" i="16" s="1"/>
  <c r="N88" i="16" s="1"/>
  <c r="N377" i="16" s="1"/>
  <c r="N87" i="16"/>
  <c r="N86" i="16" s="1"/>
  <c r="N85" i="16" s="1"/>
  <c r="N84" i="16"/>
  <c r="N83" i="16" s="1"/>
  <c r="N82" i="16"/>
  <c r="N81" i="16" s="1"/>
  <c r="N79" i="16"/>
  <c r="N76" i="16"/>
  <c r="N73" i="16"/>
  <c r="N71" i="16" s="1"/>
  <c r="N366" i="16" s="1"/>
  <c r="N70" i="16"/>
  <c r="N69" i="16" s="1"/>
  <c r="N68" i="16"/>
  <c r="N67" i="16" s="1"/>
  <c r="N65" i="16"/>
  <c r="N64" i="16" s="1"/>
  <c r="N63" i="16" s="1"/>
  <c r="N360" i="16" s="1"/>
  <c r="N62" i="16"/>
  <c r="N61" i="16" s="1"/>
  <c r="N60" i="16" s="1"/>
  <c r="N359" i="16" s="1"/>
  <c r="N59" i="16"/>
  <c r="N58" i="16" s="1"/>
  <c r="N57" i="16"/>
  <c r="N56" i="16" s="1"/>
  <c r="N54" i="16"/>
  <c r="N53" i="16" s="1"/>
  <c r="N52" i="16"/>
  <c r="N51" i="16" s="1"/>
  <c r="N49" i="16"/>
  <c r="N48" i="16" s="1"/>
  <c r="N47" i="16" s="1"/>
  <c r="N353" i="16" s="1"/>
  <c r="N46" i="16"/>
  <c r="N45" i="16" s="1"/>
  <c r="N44" i="16" s="1"/>
  <c r="N352" i="16" s="1"/>
  <c r="N43" i="16"/>
  <c r="N42" i="16" s="1"/>
  <c r="N41" i="16" s="1"/>
  <c r="N339" i="16" s="1"/>
  <c r="N40" i="16"/>
  <c r="N38" i="16"/>
  <c r="N37" i="16" s="1"/>
  <c r="N35" i="16"/>
  <c r="N33" i="16"/>
  <c r="N32" i="16" s="1"/>
  <c r="N27" i="16"/>
  <c r="N24" i="16"/>
  <c r="N23" i="16" s="1"/>
  <c r="N22" i="16" s="1"/>
  <c r="N325" i="16" s="1"/>
  <c r="N21" i="16"/>
  <c r="N20" i="16"/>
  <c r="N19" i="16"/>
  <c r="N17" i="16"/>
  <c r="N15" i="16"/>
  <c r="N14" i="16" s="1"/>
  <c r="N12" i="16"/>
  <c r="N11" i="16" s="1"/>
  <c r="N10" i="16" s="1"/>
  <c r="M316" i="4"/>
  <c r="M315" i="4" s="1"/>
  <c r="M314" i="4" s="1"/>
  <c r="M308" i="4"/>
  <c r="M307" i="4"/>
  <c r="M302" i="4"/>
  <c r="M301" i="4"/>
  <c r="M295" i="4"/>
  <c r="M294" i="4" s="1"/>
  <c r="M292" i="4"/>
  <c r="M291" i="4" s="1"/>
  <c r="M290" i="4" s="1"/>
  <c r="M287" i="4"/>
  <c r="M286" i="4" s="1"/>
  <c r="M282" i="4"/>
  <c r="M280" i="4"/>
  <c r="M279" i="4" s="1"/>
  <c r="M277" i="4"/>
  <c r="M275" i="4"/>
  <c r="M274" i="4" s="1"/>
  <c r="M271" i="4"/>
  <c r="M270" i="4" s="1"/>
  <c r="M268" i="4"/>
  <c r="M267" i="4" s="1"/>
  <c r="M266" i="4" s="1"/>
  <c r="M265" i="4"/>
  <c r="M264" i="4" s="1"/>
  <c r="M263" i="4"/>
  <c r="M262" i="4" s="1"/>
  <c r="M260" i="4"/>
  <c r="M259" i="4" s="1"/>
  <c r="M258" i="4" s="1"/>
  <c r="M256" i="4"/>
  <c r="M255" i="4" s="1"/>
  <c r="M254" i="4" s="1"/>
  <c r="M253" i="4"/>
  <c r="M252" i="4" s="1"/>
  <c r="M249" i="4"/>
  <c r="M248" i="4" s="1"/>
  <c r="M244" i="4"/>
  <c r="M243" i="4" s="1"/>
  <c r="M242" i="4" s="1"/>
  <c r="M241" i="4"/>
  <c r="M240" i="4" s="1"/>
  <c r="M237" i="4"/>
  <c r="M236" i="4" s="1"/>
  <c r="M234" i="4"/>
  <c r="M233" i="4" s="1"/>
  <c r="M232" i="4" s="1"/>
  <c r="M231" i="4"/>
  <c r="M230" i="4" s="1"/>
  <c r="M229" i="4" s="1"/>
  <c r="M228" i="4"/>
  <c r="M225" i="4"/>
  <c r="M222" i="4"/>
  <c r="M221" i="4" s="1"/>
  <c r="M220" i="4" s="1"/>
  <c r="M219" i="4"/>
  <c r="M218" i="4" s="1"/>
  <c r="M214" i="4"/>
  <c r="M213" i="4" s="1"/>
  <c r="M212" i="4" s="1"/>
  <c r="M211" i="4"/>
  <c r="M209" i="4"/>
  <c r="M207" i="4"/>
  <c r="M205" i="4"/>
  <c r="M204" i="4" s="1"/>
  <c r="M202" i="4"/>
  <c r="M201" i="4" s="1"/>
  <c r="M200" i="4" s="1"/>
  <c r="M198" i="4"/>
  <c r="M197" i="4" s="1"/>
  <c r="M196" i="4" s="1"/>
  <c r="M195" i="4" s="1"/>
  <c r="M194" i="4"/>
  <c r="M191" i="4"/>
  <c r="M190" i="4" s="1"/>
  <c r="M189" i="4"/>
  <c r="M187" i="4"/>
  <c r="M186" i="4" s="1"/>
  <c r="M184" i="4"/>
  <c r="M183" i="4" s="1"/>
  <c r="M182" i="4" s="1"/>
  <c r="M181" i="4"/>
  <c r="M180" i="4" s="1"/>
  <c r="M179" i="4" s="1"/>
  <c r="M178" i="4"/>
  <c r="M177" i="4" s="1"/>
  <c r="M176" i="4" s="1"/>
  <c r="M174" i="4"/>
  <c r="M173" i="4" s="1"/>
  <c r="M172" i="4"/>
  <c r="M171" i="4" s="1"/>
  <c r="M169" i="4"/>
  <c r="M165" i="4"/>
  <c r="M162" i="4"/>
  <c r="M159" i="4"/>
  <c r="M156" i="4"/>
  <c r="M155" i="4" s="1"/>
  <c r="M147" i="4"/>
  <c r="M146" i="4" s="1"/>
  <c r="M145" i="4"/>
  <c r="M144" i="4" s="1"/>
  <c r="M142" i="4"/>
  <c r="M138" i="4"/>
  <c r="M137" i="4"/>
  <c r="M132" i="4"/>
  <c r="M127" i="4"/>
  <c r="M126" i="4" s="1"/>
  <c r="M124" i="4"/>
  <c r="M122" i="4"/>
  <c r="M118" i="4"/>
  <c r="M117" i="4" s="1"/>
  <c r="M116" i="4" s="1"/>
  <c r="M115" i="4" s="1"/>
  <c r="M113" i="4"/>
  <c r="M112" i="4" s="1"/>
  <c r="M111" i="4"/>
  <c r="M110" i="4" s="1"/>
  <c r="M109" i="4" s="1"/>
  <c r="M108" i="4"/>
  <c r="M107" i="4" s="1"/>
  <c r="M106" i="4" s="1"/>
  <c r="M100" i="4"/>
  <c r="M98" i="4"/>
  <c r="M97" i="4" s="1"/>
  <c r="M93" i="4"/>
  <c r="M92" i="4" s="1"/>
  <c r="M91" i="4"/>
  <c r="M90" i="4" s="1"/>
  <c r="M89" i="4"/>
  <c r="M88" i="4" s="1"/>
  <c r="M84" i="4"/>
  <c r="M83" i="4" s="1"/>
  <c r="M82" i="4" s="1"/>
  <c r="M81" i="4"/>
  <c r="M80" i="4" s="1"/>
  <c r="M79" i="4" s="1"/>
  <c r="M78" i="4"/>
  <c r="M77" i="4" s="1"/>
  <c r="M76" i="4"/>
  <c r="M75" i="4" s="1"/>
  <c r="M73" i="4"/>
  <c r="M72" i="4" s="1"/>
  <c r="M71" i="4" s="1"/>
  <c r="M70" i="4"/>
  <c r="M69" i="4" s="1"/>
  <c r="M67" i="4"/>
  <c r="M66" i="4" s="1"/>
  <c r="M65" i="4"/>
  <c r="M63" i="4"/>
  <c r="M62" i="4" s="1"/>
  <c r="M59" i="4"/>
  <c r="M58" i="4" s="1"/>
  <c r="M57" i="4" s="1"/>
  <c r="M56" i="4" s="1"/>
  <c r="M55" i="4"/>
  <c r="M54" i="4" s="1"/>
  <c r="M53" i="4" s="1"/>
  <c r="M52" i="4"/>
  <c r="M51" i="4" s="1"/>
  <c r="M50" i="4"/>
  <c r="M49" i="4" s="1"/>
  <c r="M46" i="4"/>
  <c r="M44" i="4"/>
  <c r="M42" i="4"/>
  <c r="M38" i="4"/>
  <c r="M34" i="4"/>
  <c r="M31" i="4"/>
  <c r="M30" i="4"/>
  <c r="M29" i="4"/>
  <c r="M27" i="4"/>
  <c r="M25" i="4"/>
  <c r="M24" i="4" s="1"/>
  <c r="M22" i="4"/>
  <c r="M18" i="4"/>
  <c r="M16" i="4"/>
  <c r="M15" i="4" s="1"/>
  <c r="M14" i="4"/>
  <c r="M13" i="4" s="1"/>
  <c r="M10" i="4"/>
  <c r="M9" i="4" s="1"/>
  <c r="M8" i="4" s="1"/>
  <c r="M7" i="4" s="1"/>
  <c r="M390" i="15"/>
  <c r="N388" i="15"/>
  <c r="M388" i="15"/>
  <c r="M369" i="15"/>
  <c r="M352" i="15"/>
  <c r="M351" i="15" s="1"/>
  <c r="M349" i="15"/>
  <c r="M347" i="15"/>
  <c r="M341" i="15"/>
  <c r="N293" i="16" s="1"/>
  <c r="M339" i="15"/>
  <c r="N291" i="16" s="1"/>
  <c r="M337" i="15"/>
  <c r="M333" i="15"/>
  <c r="M332" i="15" s="1"/>
  <c r="M331" i="15" s="1"/>
  <c r="M327" i="15"/>
  <c r="M326" i="15" s="1"/>
  <c r="M325" i="15" s="1"/>
  <c r="M321" i="15" s="1"/>
  <c r="M318" i="15"/>
  <c r="M317" i="15" s="1"/>
  <c r="M316" i="15" s="1"/>
  <c r="M312" i="15"/>
  <c r="M311" i="15" s="1"/>
  <c r="M310" i="15" s="1"/>
  <c r="M306" i="15"/>
  <c r="M305" i="15" s="1"/>
  <c r="M304" i="15" s="1"/>
  <c r="M302" i="15"/>
  <c r="M301" i="15" s="1"/>
  <c r="M300" i="15" s="1"/>
  <c r="M288" i="15"/>
  <c r="M287" i="15" s="1"/>
  <c r="M286" i="15" s="1"/>
  <c r="M285" i="15" s="1"/>
  <c r="M283" i="15"/>
  <c r="M282" i="15" s="1"/>
  <c r="M278" i="15"/>
  <c r="M277" i="15" s="1"/>
  <c r="M273" i="15"/>
  <c r="M45" i="4" s="1"/>
  <c r="M271" i="15"/>
  <c r="M269" i="15"/>
  <c r="M263" i="15"/>
  <c r="M261" i="15"/>
  <c r="M258" i="15"/>
  <c r="M256" i="15"/>
  <c r="M252" i="15"/>
  <c r="M251" i="15" s="1"/>
  <c r="M249" i="15"/>
  <c r="M247" i="15"/>
  <c r="M246" i="15" s="1"/>
  <c r="M244" i="15"/>
  <c r="M240" i="15"/>
  <c r="M239" i="15" s="1"/>
  <c r="M235" i="15"/>
  <c r="M234" i="15" s="1"/>
  <c r="M232" i="15"/>
  <c r="M210" i="4" s="1"/>
  <c r="M230" i="15"/>
  <c r="M208" i="4" s="1"/>
  <c r="M228" i="15"/>
  <c r="M206" i="4" s="1"/>
  <c r="M226" i="15"/>
  <c r="M223" i="15"/>
  <c r="M222" i="15" s="1"/>
  <c r="M219" i="15"/>
  <c r="M218" i="15" s="1"/>
  <c r="M217" i="15" s="1"/>
  <c r="M215" i="15"/>
  <c r="M214" i="15" s="1"/>
  <c r="M212" i="15"/>
  <c r="M211" i="15" s="1"/>
  <c r="M209" i="15"/>
  <c r="M208" i="15" s="1"/>
  <c r="M206" i="15"/>
  <c r="M205" i="15" s="1"/>
  <c r="M203" i="15"/>
  <c r="M202" i="15" s="1"/>
  <c r="M200" i="15"/>
  <c r="M197" i="15"/>
  <c r="M196" i="15" s="1"/>
  <c r="M193" i="15"/>
  <c r="M164" i="4" s="1"/>
  <c r="M190" i="15"/>
  <c r="M189" i="15" s="1"/>
  <c r="M187" i="15"/>
  <c r="M184" i="15"/>
  <c r="M183" i="15" s="1"/>
  <c r="M178" i="15"/>
  <c r="M177" i="15" s="1"/>
  <c r="M175" i="15"/>
  <c r="M174" i="15" s="1"/>
  <c r="M170" i="15"/>
  <c r="M168" i="15"/>
  <c r="M285" i="4" s="1"/>
  <c r="M284" i="4" s="1"/>
  <c r="M164" i="15"/>
  <c r="M160" i="15"/>
  <c r="M159" i="15" s="1"/>
  <c r="M158" i="15" s="1"/>
  <c r="M156" i="15"/>
  <c r="M155" i="15" s="1"/>
  <c r="M151" i="15"/>
  <c r="M150" i="15" s="1"/>
  <c r="M149" i="15" s="1"/>
  <c r="M147" i="15"/>
  <c r="M146" i="15" s="1"/>
  <c r="M144" i="15"/>
  <c r="M143" i="15" s="1"/>
  <c r="M141" i="15"/>
  <c r="M140" i="15" s="1"/>
  <c r="M138" i="15"/>
  <c r="M227" i="4" s="1"/>
  <c r="M135" i="15"/>
  <c r="M224" i="4" s="1"/>
  <c r="M132" i="15"/>
  <c r="M129" i="15"/>
  <c r="M128" i="15" s="1"/>
  <c r="M124" i="15"/>
  <c r="M119" i="15"/>
  <c r="M118" i="15" s="1"/>
  <c r="M114" i="15"/>
  <c r="M111" i="15"/>
  <c r="M110" i="15"/>
  <c r="M108" i="15"/>
  <c r="M107" i="15"/>
  <c r="M105" i="15"/>
  <c r="M104" i="15"/>
  <c r="M101" i="15"/>
  <c r="M100" i="15" s="1"/>
  <c r="M99" i="15" s="1"/>
  <c r="M96" i="15"/>
  <c r="M95" i="15" s="1"/>
  <c r="M93" i="15"/>
  <c r="M123" i="4" s="1"/>
  <c r="M91" i="15"/>
  <c r="M87" i="15"/>
  <c r="M86" i="15" s="1"/>
  <c r="M83" i="15"/>
  <c r="M82" i="15" s="1"/>
  <c r="M80" i="15"/>
  <c r="M79" i="15" s="1"/>
  <c r="M77" i="15"/>
  <c r="M76" i="15" s="1"/>
  <c r="M69" i="15"/>
  <c r="N34" i="16" s="1"/>
  <c r="M67" i="15"/>
  <c r="M62" i="15"/>
  <c r="M60" i="15"/>
  <c r="M55" i="15"/>
  <c r="M54" i="15" s="1"/>
  <c r="M52" i="15"/>
  <c r="M49" i="15"/>
  <c r="M47" i="15"/>
  <c r="M44" i="15"/>
  <c r="M43" i="15" s="1"/>
  <c r="M41" i="15"/>
  <c r="M40" i="15" s="1"/>
  <c r="M38" i="15"/>
  <c r="M36" i="15"/>
  <c r="M32" i="15"/>
  <c r="M31" i="15" s="1"/>
  <c r="M28" i="15"/>
  <c r="M27" i="15" s="1"/>
  <c r="M24" i="15"/>
  <c r="M23" i="15" s="1"/>
  <c r="M19" i="15"/>
  <c r="M17" i="15"/>
  <c r="M15" i="15"/>
  <c r="M12" i="15"/>
  <c r="M11" i="15" s="1"/>
  <c r="M255" i="15" l="1"/>
  <c r="M336" i="15"/>
  <c r="M59" i="15"/>
  <c r="M90" i="15"/>
  <c r="M315" i="15"/>
  <c r="M188" i="4"/>
  <c r="M185" i="4" s="1"/>
  <c r="M121" i="15"/>
  <c r="M117" i="15" s="1"/>
  <c r="M116" i="15" s="1"/>
  <c r="M134" i="15"/>
  <c r="M223" i="4" s="1"/>
  <c r="M46" i="15"/>
  <c r="M14" i="15"/>
  <c r="M260" i="15"/>
  <c r="N16" i="16"/>
  <c r="N241" i="16"/>
  <c r="N238" i="16" s="1"/>
  <c r="M26" i="4"/>
  <c r="N319" i="16"/>
  <c r="M102" i="4"/>
  <c r="N340" i="16"/>
  <c r="M28" i="4"/>
  <c r="M23" i="4" s="1"/>
  <c r="M72" i="15"/>
  <c r="N384" i="16"/>
  <c r="N99" i="16"/>
  <c r="N98" i="16" s="1"/>
  <c r="N97" i="16" s="1"/>
  <c r="N364" i="16"/>
  <c r="N132" i="16"/>
  <c r="N131" i="16" s="1"/>
  <c r="N335" i="16"/>
  <c r="N163" i="16"/>
  <c r="N162" i="16" s="1"/>
  <c r="N358" i="16"/>
  <c r="N276" i="16"/>
  <c r="N323" i="16"/>
  <c r="N158" i="16"/>
  <c r="N157" i="16" s="1"/>
  <c r="N371" i="16"/>
  <c r="N212" i="16"/>
  <c r="N351" i="16"/>
  <c r="M203" i="4"/>
  <c r="M199" i="4" s="1"/>
  <c r="M298" i="17"/>
  <c r="N18" i="16"/>
  <c r="N13" i="16" s="1"/>
  <c r="N66" i="16"/>
  <c r="N361" i="16" s="1"/>
  <c r="N181" i="16"/>
  <c r="N333" i="16" s="1"/>
  <c r="N204" i="16"/>
  <c r="N344" i="16" s="1"/>
  <c r="N288" i="16"/>
  <c r="N137" i="16"/>
  <c r="N136" i="16" s="1"/>
  <c r="M87" i="4"/>
  <c r="M86" i="4" s="1"/>
  <c r="M85" i="4" s="1"/>
  <c r="M64" i="4"/>
  <c r="M61" i="4" s="1"/>
  <c r="N39" i="16"/>
  <c r="N36" i="16" s="1"/>
  <c r="N190" i="16"/>
  <c r="M276" i="4"/>
  <c r="M273" i="4" s="1"/>
  <c r="N50" i="16"/>
  <c r="N356" i="16" s="1"/>
  <c r="M281" i="4"/>
  <c r="M278" i="4" s="1"/>
  <c r="M243" i="15"/>
  <c r="M48" i="4"/>
  <c r="N55" i="16"/>
  <c r="N357" i="16" s="1"/>
  <c r="N215" i="16"/>
  <c r="N350" i="16" s="1"/>
  <c r="M51" i="15"/>
  <c r="M99" i="4"/>
  <c r="N31" i="16"/>
  <c r="N337" i="16" s="1"/>
  <c r="M66" i="15"/>
  <c r="N72" i="16"/>
  <c r="M141" i="4"/>
  <c r="M140" i="4"/>
  <c r="M143" i="4"/>
  <c r="N26" i="16"/>
  <c r="N25" i="16" s="1"/>
  <c r="N334" i="16" s="1"/>
  <c r="M193" i="4"/>
  <c r="M192" i="4"/>
  <c r="N254" i="16"/>
  <c r="N253" i="16" s="1"/>
  <c r="M306" i="4"/>
  <c r="M305" i="4" s="1"/>
  <c r="M304" i="4" s="1"/>
  <c r="N259" i="16"/>
  <c r="N258" i="16" s="1"/>
  <c r="N257" i="16" s="1"/>
  <c r="N346" i="16" s="1"/>
  <c r="M300" i="4"/>
  <c r="M299" i="4" s="1"/>
  <c r="N106" i="16"/>
  <c r="N105" i="16" s="1"/>
  <c r="N80" i="16"/>
  <c r="N375" i="16" s="1"/>
  <c r="N78" i="16"/>
  <c r="N77" i="16" s="1"/>
  <c r="N369" i="16" s="1"/>
  <c r="N95" i="16"/>
  <c r="N94" i="16" s="1"/>
  <c r="N149" i="16"/>
  <c r="N74" i="16"/>
  <c r="N367" i="16" s="1"/>
  <c r="N296" i="16"/>
  <c r="N75" i="16"/>
  <c r="M125" i="4"/>
  <c r="M170" i="4"/>
  <c r="M154" i="4"/>
  <c r="M68" i="4"/>
  <c r="M17" i="4"/>
  <c r="M21" i="4"/>
  <c r="M33" i="4"/>
  <c r="M37" i="4"/>
  <c r="M41" i="4"/>
  <c r="M43" i="4"/>
  <c r="M131" i="4"/>
  <c r="M168" i="4"/>
  <c r="M217" i="4"/>
  <c r="M74" i="4"/>
  <c r="M121" i="4"/>
  <c r="M158" i="4"/>
  <c r="M239" i="4"/>
  <c r="M251" i="4"/>
  <c r="M313" i="4"/>
  <c r="M309" i="4" s="1"/>
  <c r="M161" i="4"/>
  <c r="M235" i="4"/>
  <c r="M247" i="4"/>
  <c r="M261" i="4"/>
  <c r="M269" i="4"/>
  <c r="M283" i="4"/>
  <c r="M293" i="4"/>
  <c r="M289" i="4" s="1"/>
  <c r="M89" i="15"/>
  <c r="M26" i="15"/>
  <c r="M58" i="15"/>
  <c r="M57" i="15" s="1"/>
  <c r="M85" i="15"/>
  <c r="M10" i="15"/>
  <c r="M65" i="15"/>
  <c r="M64" i="15" s="1"/>
  <c r="M30" i="15"/>
  <c r="M162" i="15"/>
  <c r="M199" i="15"/>
  <c r="M238" i="15"/>
  <c r="M281" i="15"/>
  <c r="M280" i="15" s="1"/>
  <c r="M35" i="15"/>
  <c r="M131" i="15"/>
  <c r="M137" i="15"/>
  <c r="M226" i="4" s="1"/>
  <c r="M154" i="15"/>
  <c r="M163" i="15"/>
  <c r="M167" i="15"/>
  <c r="M173" i="15"/>
  <c r="M186" i="15"/>
  <c r="M192" i="15"/>
  <c r="M195" i="15"/>
  <c r="M254" i="15"/>
  <c r="M276" i="15"/>
  <c r="M335" i="15"/>
  <c r="M330" i="15" s="1"/>
  <c r="M329" i="15" s="1"/>
  <c r="M242" i="15"/>
  <c r="M372" i="15"/>
  <c r="M113" i="15"/>
  <c r="M299" i="15"/>
  <c r="M309" i="15"/>
  <c r="M308" i="15" s="1"/>
  <c r="M127" i="15"/>
  <c r="M126" i="15" s="1"/>
  <c r="M225" i="15"/>
  <c r="M268" i="15"/>
  <c r="M346" i="15"/>
  <c r="K181" i="4"/>
  <c r="L181" i="4" s="1"/>
  <c r="N181" i="4" s="1"/>
  <c r="J180" i="4"/>
  <c r="L203" i="16"/>
  <c r="M203" i="16" s="1"/>
  <c r="M202" i="16" s="1"/>
  <c r="M201" i="16" s="1"/>
  <c r="M343" i="16" s="1"/>
  <c r="K202" i="16"/>
  <c r="K201" i="16" s="1"/>
  <c r="K343" i="16" s="1"/>
  <c r="L207" i="15"/>
  <c r="K206" i="15"/>
  <c r="K205" i="15" s="1"/>
  <c r="J206" i="15"/>
  <c r="J205" i="15" s="1"/>
  <c r="M136" i="4" l="1"/>
  <c r="M303" i="4"/>
  <c r="N9" i="16"/>
  <c r="M298" i="4"/>
  <c r="M297" i="4" s="1"/>
  <c r="M332" i="4"/>
  <c r="M163" i="4"/>
  <c r="N338" i="16"/>
  <c r="N145" i="16"/>
  <c r="N144" i="16" s="1"/>
  <c r="N368" i="16"/>
  <c r="N284" i="16"/>
  <c r="N322" i="16"/>
  <c r="N295" i="16"/>
  <c r="N321" i="16"/>
  <c r="N252" i="16"/>
  <c r="N237" i="16" s="1"/>
  <c r="N347" i="16"/>
  <c r="M221" i="15"/>
  <c r="M297" i="17"/>
  <c r="M296" i="17" s="1"/>
  <c r="M295" i="17" s="1"/>
  <c r="M294" i="17" s="1"/>
  <c r="N168" i="16"/>
  <c r="N167" i="16" s="1"/>
  <c r="M71" i="15"/>
  <c r="M361" i="15" s="1"/>
  <c r="O203" i="16"/>
  <c r="O202" i="16" s="1"/>
  <c r="O201" i="16" s="1"/>
  <c r="M60" i="4"/>
  <c r="M96" i="4"/>
  <c r="M120" i="4"/>
  <c r="M216" i="4"/>
  <c r="M20" i="4"/>
  <c r="M288" i="4"/>
  <c r="M257" i="4"/>
  <c r="M160" i="4"/>
  <c r="M250" i="4"/>
  <c r="M40" i="4"/>
  <c r="M12" i="4"/>
  <c r="M167" i="4"/>
  <c r="M36" i="4"/>
  <c r="M246" i="4"/>
  <c r="M272" i="4"/>
  <c r="M238" i="4"/>
  <c r="M157" i="4"/>
  <c r="M130" i="4"/>
  <c r="M129" i="4" s="1"/>
  <c r="M32" i="4"/>
  <c r="L206" i="15"/>
  <c r="L205" i="15" s="1"/>
  <c r="N207" i="15"/>
  <c r="N206" i="15" s="1"/>
  <c r="N205" i="15" s="1"/>
  <c r="K180" i="4"/>
  <c r="K179" i="4" s="1"/>
  <c r="M267" i="15"/>
  <c r="M266" i="15" s="1"/>
  <c r="M265" i="15" s="1"/>
  <c r="M166" i="15"/>
  <c r="M153" i="15" s="1"/>
  <c r="M359" i="15"/>
  <c r="M379" i="15"/>
  <c r="M237" i="15"/>
  <c r="M364" i="15"/>
  <c r="M378" i="15"/>
  <c r="M34" i="15"/>
  <c r="M9" i="15" s="1"/>
  <c r="M368" i="15"/>
  <c r="M182" i="15"/>
  <c r="M181" i="15" s="1"/>
  <c r="M98" i="15"/>
  <c r="M380" i="15"/>
  <c r="M391" i="15" s="1"/>
  <c r="M345" i="15"/>
  <c r="M344" i="15" s="1"/>
  <c r="M343" i="15" s="1"/>
  <c r="M172" i="15"/>
  <c r="M360" i="15"/>
  <c r="J179" i="4"/>
  <c r="L202" i="16"/>
  <c r="L201" i="16" s="1"/>
  <c r="L343" i="16" s="1"/>
  <c r="M296" i="4" l="1"/>
  <c r="M153" i="4"/>
  <c r="N236" i="16"/>
  <c r="N382" i="16"/>
  <c r="N8" i="16"/>
  <c r="N383" i="16"/>
  <c r="N390" i="16" s="1"/>
  <c r="N275" i="16"/>
  <c r="N380" i="16"/>
  <c r="O343" i="16"/>
  <c r="M293" i="17"/>
  <c r="M95" i="4"/>
  <c r="M245" i="4"/>
  <c r="M19" i="4"/>
  <c r="M119" i="4"/>
  <c r="M101" i="4" s="1"/>
  <c r="M166" i="4"/>
  <c r="M152" i="4" s="1"/>
  <c r="M11" i="4"/>
  <c r="M39" i="4"/>
  <c r="M35" i="4"/>
  <c r="M215" i="4"/>
  <c r="L179" i="4"/>
  <c r="N179" i="4" s="1"/>
  <c r="L180" i="4"/>
  <c r="N180" i="4" s="1"/>
  <c r="M358" i="15"/>
  <c r="M8" i="15"/>
  <c r="M180" i="15"/>
  <c r="M363" i="15"/>
  <c r="M365" i="15"/>
  <c r="M362" i="15"/>
  <c r="M366" i="15"/>
  <c r="M389" i="15"/>
  <c r="M377" i="15"/>
  <c r="N304" i="16" l="1"/>
  <c r="M321" i="4" s="1"/>
  <c r="M292" i="17"/>
  <c r="M94" i="4"/>
  <c r="M6" i="4"/>
  <c r="M128" i="4"/>
  <c r="M354" i="15"/>
  <c r="M370" i="15"/>
  <c r="P120" i="2"/>
  <c r="M120" i="2"/>
  <c r="H120" i="2"/>
  <c r="H75" i="2"/>
  <c r="I75" i="2"/>
  <c r="G75" i="2"/>
  <c r="I84" i="2"/>
  <c r="H85" i="2"/>
  <c r="H84" i="2" s="1"/>
  <c r="I85" i="2"/>
  <c r="I86" i="2"/>
  <c r="G84" i="2"/>
  <c r="G85" i="2"/>
  <c r="G14" i="25" l="1"/>
  <c r="G13" i="25" s="1"/>
  <c r="G12" i="25" s="1"/>
  <c r="G11" i="25" s="1"/>
  <c r="M291" i="17"/>
  <c r="N306" i="16"/>
  <c r="N307" i="16" s="1"/>
  <c r="N393" i="16"/>
  <c r="M328" i="4"/>
  <c r="M319" i="4"/>
  <c r="M317" i="4"/>
  <c r="M371" i="15"/>
  <c r="M381" i="15"/>
  <c r="O66" i="2"/>
  <c r="P66" i="2"/>
  <c r="Q10" i="2"/>
  <c r="Q11" i="2"/>
  <c r="Q12" i="2"/>
  <c r="Q13" i="2"/>
  <c r="Q16" i="2"/>
  <c r="Q17" i="2"/>
  <c r="Q18" i="2"/>
  <c r="Q19" i="2"/>
  <c r="Q22" i="2"/>
  <c r="Q23" i="2"/>
  <c r="Q25" i="2"/>
  <c r="Q27" i="2"/>
  <c r="Q30" i="2"/>
  <c r="Q34" i="2"/>
  <c r="Q35" i="2"/>
  <c r="Q36" i="2"/>
  <c r="Q38" i="2"/>
  <c r="Q41" i="2"/>
  <c r="Q44" i="2"/>
  <c r="Q45" i="2"/>
  <c r="Q46" i="2"/>
  <c r="Q47" i="2"/>
  <c r="Q51" i="2"/>
  <c r="Q55" i="2"/>
  <c r="Q56" i="2"/>
  <c r="Q57" i="2"/>
  <c r="Q60" i="2"/>
  <c r="Q61" i="2"/>
  <c r="Q63" i="2"/>
  <c r="Q64" i="2"/>
  <c r="Q65" i="2"/>
  <c r="Q67" i="2"/>
  <c r="Q66" i="2" s="1"/>
  <c r="Q72" i="2"/>
  <c r="Q74" i="2"/>
  <c r="Q76" i="2"/>
  <c r="Q77" i="2"/>
  <c r="Q78" i="2"/>
  <c r="Q79" i="2"/>
  <c r="Q82" i="2"/>
  <c r="Q83" i="2"/>
  <c r="Q86" i="2"/>
  <c r="Q89" i="2"/>
  <c r="Q91" i="2"/>
  <c r="Q93" i="2"/>
  <c r="Q96" i="2"/>
  <c r="Q97" i="2"/>
  <c r="Q98" i="2"/>
  <c r="Q99" i="2"/>
  <c r="Q100" i="2"/>
  <c r="Q101" i="2"/>
  <c r="Q102" i="2"/>
  <c r="Q103" i="2"/>
  <c r="Q104" i="2"/>
  <c r="Q105" i="2"/>
  <c r="Q106" i="2"/>
  <c r="Q107" i="2"/>
  <c r="Q108" i="2"/>
  <c r="Q109" i="2"/>
  <c r="Q111" i="2"/>
  <c r="Q113" i="2"/>
  <c r="Q116" i="2"/>
  <c r="Q118" i="2"/>
  <c r="N60" i="2"/>
  <c r="N61" i="2"/>
  <c r="N63" i="2"/>
  <c r="N64" i="2"/>
  <c r="N65" i="2"/>
  <c r="N67" i="2"/>
  <c r="N66" i="2" s="1"/>
  <c r="N72" i="2"/>
  <c r="N74" i="2"/>
  <c r="N76" i="2"/>
  <c r="N77" i="2"/>
  <c r="N78" i="2"/>
  <c r="N79" i="2"/>
  <c r="N82" i="2"/>
  <c r="N83" i="2"/>
  <c r="N86" i="2"/>
  <c r="N89" i="2"/>
  <c r="N91" i="2"/>
  <c r="N93" i="2"/>
  <c r="N96" i="2"/>
  <c r="N97" i="2"/>
  <c r="N98" i="2"/>
  <c r="N99" i="2"/>
  <c r="N100" i="2"/>
  <c r="N101" i="2"/>
  <c r="N102" i="2"/>
  <c r="N103" i="2"/>
  <c r="N104" i="2"/>
  <c r="N105" i="2"/>
  <c r="N106" i="2"/>
  <c r="N107" i="2"/>
  <c r="N108" i="2"/>
  <c r="N109" i="2"/>
  <c r="N111" i="2"/>
  <c r="N113" i="2"/>
  <c r="N116" i="2"/>
  <c r="N118" i="2"/>
  <c r="N10" i="2"/>
  <c r="N11" i="2"/>
  <c r="N12" i="2"/>
  <c r="N13" i="2"/>
  <c r="N16" i="2"/>
  <c r="N17" i="2"/>
  <c r="N18" i="2"/>
  <c r="N19" i="2"/>
  <c r="N22" i="2"/>
  <c r="N23" i="2"/>
  <c r="N25" i="2"/>
  <c r="N27" i="2"/>
  <c r="N30" i="2"/>
  <c r="N34" i="2"/>
  <c r="N35" i="2"/>
  <c r="N36" i="2"/>
  <c r="N38" i="2"/>
  <c r="N41" i="2"/>
  <c r="N44" i="2"/>
  <c r="N45" i="2"/>
  <c r="N46" i="2"/>
  <c r="N47" i="2"/>
  <c r="N51" i="2"/>
  <c r="N55" i="2"/>
  <c r="N56" i="2"/>
  <c r="N57" i="2"/>
  <c r="N395" i="16" l="1"/>
  <c r="N381" i="16"/>
  <c r="M290" i="17"/>
  <c r="N396" i="16"/>
  <c r="N397" i="16" s="1"/>
  <c r="M330" i="4"/>
  <c r="M322" i="4"/>
  <c r="M320" i="4"/>
  <c r="P117" i="2"/>
  <c r="P115" i="2"/>
  <c r="P112" i="2"/>
  <c r="P110" i="2"/>
  <c r="P95" i="2"/>
  <c r="P94" i="2" s="1"/>
  <c r="P87" i="2" s="1"/>
  <c r="P92" i="2"/>
  <c r="P90" i="2"/>
  <c r="P88" i="2"/>
  <c r="P81" i="2"/>
  <c r="P80" i="2" s="1"/>
  <c r="P73" i="2"/>
  <c r="P71" i="2"/>
  <c r="P62" i="2"/>
  <c r="P59" i="2"/>
  <c r="P54" i="2"/>
  <c r="P50" i="2"/>
  <c r="P49" i="2"/>
  <c r="P48" i="2" s="1"/>
  <c r="P43" i="2"/>
  <c r="P42" i="2" s="1"/>
  <c r="P40" i="2"/>
  <c r="P39" i="2" s="1"/>
  <c r="P37" i="2"/>
  <c r="P33" i="2"/>
  <c r="P29" i="2"/>
  <c r="P28" i="2" s="1"/>
  <c r="P26" i="2"/>
  <c r="P24" i="2"/>
  <c r="P21" i="2"/>
  <c r="P20" i="2" s="1"/>
  <c r="P15" i="2"/>
  <c r="P14" i="2" s="1"/>
  <c r="Q9" i="2"/>
  <c r="Q8" i="2" s="1"/>
  <c r="P9" i="2"/>
  <c r="P8" i="2"/>
  <c r="M117" i="2"/>
  <c r="M115" i="2"/>
  <c r="M114" i="2" s="1"/>
  <c r="M112" i="2"/>
  <c r="M110" i="2"/>
  <c r="M95" i="2"/>
  <c r="M94" i="2" s="1"/>
  <c r="M92" i="2"/>
  <c r="M90" i="2"/>
  <c r="M88" i="2"/>
  <c r="M81" i="2"/>
  <c r="M73" i="2"/>
  <c r="M71" i="2"/>
  <c r="M70" i="2" s="1"/>
  <c r="M66" i="2"/>
  <c r="M62" i="2"/>
  <c r="M59" i="2"/>
  <c r="M58" i="2" s="1"/>
  <c r="M54" i="2"/>
  <c r="M50" i="2"/>
  <c r="M49" i="2"/>
  <c r="M48" i="2" s="1"/>
  <c r="M43" i="2"/>
  <c r="M42" i="2" s="1"/>
  <c r="M40" i="2"/>
  <c r="M39" i="2" s="1"/>
  <c r="M37" i="2"/>
  <c r="M33" i="2"/>
  <c r="M29" i="2"/>
  <c r="M28" i="2" s="1"/>
  <c r="M26" i="2"/>
  <c r="M24" i="2"/>
  <c r="M21" i="2"/>
  <c r="M20" i="2"/>
  <c r="M15" i="2"/>
  <c r="M14" i="2" s="1"/>
  <c r="M9" i="2"/>
  <c r="M8" i="2"/>
  <c r="O117" i="2"/>
  <c r="Q117" i="2" s="1"/>
  <c r="O115" i="2"/>
  <c r="O112" i="2"/>
  <c r="O110" i="2"/>
  <c r="Q110" i="2" s="1"/>
  <c r="O95" i="2"/>
  <c r="Q95" i="2" s="1"/>
  <c r="O92" i="2"/>
  <c r="Q92" i="2" s="1"/>
  <c r="O90" i="2"/>
  <c r="Q90" i="2" s="1"/>
  <c r="O88" i="2"/>
  <c r="Q88" i="2" s="1"/>
  <c r="O81" i="2"/>
  <c r="O80" i="2" s="1"/>
  <c r="O75" i="2" s="1"/>
  <c r="O73" i="2"/>
  <c r="O71" i="2"/>
  <c r="Q71" i="2" s="1"/>
  <c r="O62" i="2"/>
  <c r="Q62" i="2" s="1"/>
  <c r="O59" i="2"/>
  <c r="O54" i="2"/>
  <c r="O53" i="2" s="1"/>
  <c r="O52" i="2" s="1"/>
  <c r="O50" i="2"/>
  <c r="Q50" i="2" s="1"/>
  <c r="O49" i="2"/>
  <c r="O43" i="2"/>
  <c r="O40" i="2"/>
  <c r="O37" i="2"/>
  <c r="Q37" i="2" s="1"/>
  <c r="O33" i="2"/>
  <c r="O32" i="2" s="1"/>
  <c r="O29" i="2"/>
  <c r="O26" i="2"/>
  <c r="O24" i="2"/>
  <c r="Q24" i="2" s="1"/>
  <c r="O21" i="2"/>
  <c r="Q21" i="2" s="1"/>
  <c r="O15" i="2"/>
  <c r="O9" i="2"/>
  <c r="O8" i="2"/>
  <c r="L117" i="2"/>
  <c r="N117" i="2" s="1"/>
  <c r="L115" i="2"/>
  <c r="N115" i="2" s="1"/>
  <c r="L112" i="2"/>
  <c r="N112" i="2" s="1"/>
  <c r="L110" i="2"/>
  <c r="N110" i="2" s="1"/>
  <c r="L95" i="2"/>
  <c r="N95" i="2" s="1"/>
  <c r="L92" i="2"/>
  <c r="N92" i="2" s="1"/>
  <c r="L90" i="2"/>
  <c r="N90" i="2" s="1"/>
  <c r="L88" i="2"/>
  <c r="N88" i="2" s="1"/>
  <c r="L81" i="2"/>
  <c r="L80" i="2" s="1"/>
  <c r="L75" i="2" s="1"/>
  <c r="L73" i="2"/>
  <c r="N73" i="2" s="1"/>
  <c r="L71" i="2"/>
  <c r="L66" i="2"/>
  <c r="L62" i="2"/>
  <c r="N62" i="2" s="1"/>
  <c r="L59" i="2"/>
  <c r="N59" i="2" s="1"/>
  <c r="N58" i="2" s="1"/>
  <c r="L54" i="2"/>
  <c r="L53" i="2" s="1"/>
  <c r="L52" i="2" s="1"/>
  <c r="L50" i="2"/>
  <c r="N50" i="2" s="1"/>
  <c r="L49" i="2"/>
  <c r="L43" i="2"/>
  <c r="L40" i="2"/>
  <c r="L37" i="2"/>
  <c r="N37" i="2" s="1"/>
  <c r="L33" i="2"/>
  <c r="L29" i="2"/>
  <c r="L28" i="2" s="1"/>
  <c r="L26" i="2"/>
  <c r="L24" i="2"/>
  <c r="N24" i="2" s="1"/>
  <c r="L21" i="2"/>
  <c r="N21" i="2" s="1"/>
  <c r="L15" i="2"/>
  <c r="L9" i="2"/>
  <c r="M289" i="17" l="1"/>
  <c r="O42" i="2"/>
  <c r="Q43" i="2"/>
  <c r="Q42" i="2" s="1"/>
  <c r="O58" i="2"/>
  <c r="Q59" i="2"/>
  <c r="Q58" i="2" s="1"/>
  <c r="P58" i="2"/>
  <c r="P114" i="2"/>
  <c r="Q49" i="2"/>
  <c r="Q48" i="2" s="1"/>
  <c r="O48" i="2"/>
  <c r="Q81" i="2"/>
  <c r="L32" i="2"/>
  <c r="L42" i="2"/>
  <c r="N43" i="2"/>
  <c r="N42" i="2" s="1"/>
  <c r="M32" i="2"/>
  <c r="M87" i="2"/>
  <c r="L48" i="2"/>
  <c r="N49" i="2"/>
  <c r="N48" i="2" s="1"/>
  <c r="L94" i="2"/>
  <c r="N94" i="2" s="1"/>
  <c r="O39" i="2"/>
  <c r="Q39" i="2" s="1"/>
  <c r="Q40" i="2"/>
  <c r="M31" i="2"/>
  <c r="N29" i="2"/>
  <c r="N28" i="2" s="1"/>
  <c r="L39" i="2"/>
  <c r="N39" i="2" s="1"/>
  <c r="N40" i="2"/>
  <c r="Q80" i="2"/>
  <c r="Q75" i="2" s="1"/>
  <c r="P75" i="2"/>
  <c r="M80" i="2"/>
  <c r="N81" i="2"/>
  <c r="P70" i="2"/>
  <c r="N71" i="2"/>
  <c r="N70" i="2" s="1"/>
  <c r="N114" i="2"/>
  <c r="O114" i="2"/>
  <c r="Q115" i="2"/>
  <c r="Q114" i="2" s="1"/>
  <c r="L114" i="2"/>
  <c r="O70" i="2"/>
  <c r="Q73" i="2"/>
  <c r="Q70" i="2" s="1"/>
  <c r="L70" i="2"/>
  <c r="L87" i="2"/>
  <c r="N87" i="2"/>
  <c r="O94" i="2"/>
  <c r="Q94" i="2" s="1"/>
  <c r="Q112" i="2"/>
  <c r="L8" i="2"/>
  <c r="N9" i="2"/>
  <c r="N8" i="2" s="1"/>
  <c r="O14" i="2"/>
  <c r="Q15" i="2"/>
  <c r="Q14" i="2" s="1"/>
  <c r="L14" i="2"/>
  <c r="N15" i="2"/>
  <c r="N14" i="2" s="1"/>
  <c r="O20" i="2"/>
  <c r="Q26" i="2"/>
  <c r="Q20" i="2" s="1"/>
  <c r="L20" i="2"/>
  <c r="N26" i="2"/>
  <c r="N20" i="2" s="1"/>
  <c r="Q29" i="2"/>
  <c r="Q28" i="2" s="1"/>
  <c r="O28" i="2"/>
  <c r="P32" i="2"/>
  <c r="Q33" i="2"/>
  <c r="N32" i="2"/>
  <c r="N31" i="2" s="1"/>
  <c r="N33" i="2"/>
  <c r="P53" i="2"/>
  <c r="Q54" i="2"/>
  <c r="M53" i="2"/>
  <c r="N54" i="2"/>
  <c r="L58" i="2"/>
  <c r="L31" i="2"/>
  <c r="M288" i="17" l="1"/>
  <c r="M287" i="17"/>
  <c r="M286" i="17" s="1"/>
  <c r="L7" i="2"/>
  <c r="O31" i="2"/>
  <c r="O7" i="2" s="1"/>
  <c r="P69" i="2"/>
  <c r="P68" i="2" s="1"/>
  <c r="M75" i="2"/>
  <c r="M69" i="2" s="1"/>
  <c r="M68" i="2" s="1"/>
  <c r="N80" i="2"/>
  <c r="N75" i="2" s="1"/>
  <c r="N69" i="2"/>
  <c r="N68" i="2" s="1"/>
  <c r="L69" i="2"/>
  <c r="L68" i="2" s="1"/>
  <c r="O87" i="2"/>
  <c r="O69" i="2" s="1"/>
  <c r="O68" i="2" s="1"/>
  <c r="Q87" i="2"/>
  <c r="Q69" i="2" s="1"/>
  <c r="Q68" i="2" s="1"/>
  <c r="P31" i="2"/>
  <c r="Q32" i="2"/>
  <c r="Q31" i="2" s="1"/>
  <c r="Q53" i="2"/>
  <c r="Q52" i="2" s="1"/>
  <c r="Q7" i="2" s="1"/>
  <c r="P52" i="2"/>
  <c r="M52" i="2"/>
  <c r="M7" i="2" s="1"/>
  <c r="N53" i="2"/>
  <c r="N52" i="2" s="1"/>
  <c r="N7" i="2" s="1"/>
  <c r="M119" i="2" l="1"/>
  <c r="O119" i="2"/>
  <c r="L119" i="2"/>
  <c r="N119" i="2"/>
  <c r="Q119" i="2"/>
  <c r="I10" i="26" s="1"/>
  <c r="I9" i="26" s="1"/>
  <c r="I8" i="26" s="1"/>
  <c r="I7" i="26" s="1"/>
  <c r="P7" i="2"/>
  <c r="P119" i="2" s="1"/>
  <c r="H10" i="26" s="1"/>
  <c r="H9" i="26" s="1"/>
  <c r="H8" i="26" s="1"/>
  <c r="H7" i="26" s="1"/>
  <c r="H6" i="26" s="1"/>
  <c r="H15" i="26" s="1"/>
  <c r="H9" i="2" l="1"/>
  <c r="H8" i="2" s="1"/>
  <c r="H15" i="2"/>
  <c r="H14" i="2" s="1"/>
  <c r="H21" i="2"/>
  <c r="H24" i="2"/>
  <c r="H26" i="2"/>
  <c r="H29" i="2"/>
  <c r="H28" i="2" s="1"/>
  <c r="H33" i="2"/>
  <c r="H37" i="2"/>
  <c r="H40" i="2"/>
  <c r="H39" i="2" s="1"/>
  <c r="H43" i="2"/>
  <c r="H42" i="2" s="1"/>
  <c r="H49" i="2"/>
  <c r="H48" i="2" s="1"/>
  <c r="H50" i="2"/>
  <c r="H52" i="2"/>
  <c r="H58" i="2"/>
  <c r="H59" i="2"/>
  <c r="H62" i="2"/>
  <c r="H66" i="2"/>
  <c r="H71" i="2"/>
  <c r="H73" i="2"/>
  <c r="H81" i="2"/>
  <c r="H80" i="2" s="1"/>
  <c r="H88" i="2"/>
  <c r="H90" i="2"/>
  <c r="H92" i="2"/>
  <c r="H95" i="2"/>
  <c r="H94" i="2" s="1"/>
  <c r="H110" i="2"/>
  <c r="H112" i="2"/>
  <c r="H115" i="2"/>
  <c r="H117" i="2"/>
  <c r="H32" i="2" l="1"/>
  <c r="H31" i="2"/>
  <c r="H87" i="2"/>
  <c r="H70" i="2"/>
  <c r="H20" i="2"/>
  <c r="H114" i="2"/>
  <c r="G19" i="25" l="1"/>
  <c r="M385" i="15"/>
  <c r="M373" i="15" s="1"/>
  <c r="H7" i="2"/>
  <c r="H69" i="2"/>
  <c r="H68" i="2" s="1"/>
  <c r="K318" i="15"/>
  <c r="K317" i="15" s="1"/>
  <c r="J318" i="15"/>
  <c r="J317" i="15" s="1"/>
  <c r="K260" i="16"/>
  <c r="L260" i="16"/>
  <c r="K307" i="4"/>
  <c r="L307" i="4" s="1"/>
  <c r="N307" i="4" s="1"/>
  <c r="L319" i="15"/>
  <c r="N319" i="15" s="1"/>
  <c r="M260" i="16" l="1"/>
  <c r="O260" i="16"/>
  <c r="H119" i="2"/>
  <c r="K148" i="15"/>
  <c r="K213" i="15"/>
  <c r="G10" i="25" l="1"/>
  <c r="G9" i="25" s="1"/>
  <c r="G8" i="25" s="1"/>
  <c r="G7" i="25" s="1"/>
  <c r="G6" i="25" s="1"/>
  <c r="G15" i="25" s="1"/>
  <c r="M356" i="15"/>
  <c r="M355" i="15" s="1"/>
  <c r="M323" i="4"/>
  <c r="M324" i="4" s="1"/>
  <c r="N398" i="16"/>
  <c r="M386" i="15"/>
  <c r="L79" i="16"/>
  <c r="L78" i="16" s="1"/>
  <c r="L77" i="16" s="1"/>
  <c r="L369" i="16" s="1"/>
  <c r="K78" i="16"/>
  <c r="K77" i="16" s="1"/>
  <c r="K369" i="16" s="1"/>
  <c r="L27" i="16"/>
  <c r="M27" i="16" s="1"/>
  <c r="K26" i="16"/>
  <c r="K25" i="16" s="1"/>
  <c r="K334" i="16" s="1"/>
  <c r="N401" i="16" l="1"/>
  <c r="N399" i="16"/>
  <c r="M26" i="16"/>
  <c r="M25" i="16" s="1"/>
  <c r="M334" i="16" s="1"/>
  <c r="O27" i="16"/>
  <c r="O26" i="16" s="1"/>
  <c r="O25" i="16" s="1"/>
  <c r="O334" i="16" s="1"/>
  <c r="M79" i="16"/>
  <c r="L26" i="16"/>
  <c r="L25" i="16" s="1"/>
  <c r="L334" i="16" s="1"/>
  <c r="K113" i="4"/>
  <c r="K112" i="4" s="1"/>
  <c r="J113" i="4"/>
  <c r="J112" i="4" s="1"/>
  <c r="K129" i="16"/>
  <c r="K128" i="16" s="1"/>
  <c r="L130" i="16"/>
  <c r="M130" i="16" s="1"/>
  <c r="L96" i="16"/>
  <c r="N175" i="4"/>
  <c r="K174" i="4"/>
  <c r="K173" i="4" s="1"/>
  <c r="J174" i="4"/>
  <c r="N148" i="4"/>
  <c r="K147" i="4"/>
  <c r="K146" i="4" s="1"/>
  <c r="J147" i="4"/>
  <c r="J146" i="4" s="1"/>
  <c r="L112" i="4" l="1"/>
  <c r="N113" i="4"/>
  <c r="N112" i="4" s="1"/>
  <c r="M78" i="16"/>
  <c r="M77" i="16" s="1"/>
  <c r="M369" i="16" s="1"/>
  <c r="O79" i="16"/>
  <c r="O78" i="16" s="1"/>
  <c r="O77" i="16" s="1"/>
  <c r="O369" i="16" s="1"/>
  <c r="M129" i="16"/>
  <c r="M128" i="16" s="1"/>
  <c r="O130" i="16"/>
  <c r="O129" i="16" s="1"/>
  <c r="O128" i="16" s="1"/>
  <c r="L174" i="4"/>
  <c r="L147" i="4"/>
  <c r="L129" i="16"/>
  <c r="L128" i="16" s="1"/>
  <c r="J173" i="4"/>
  <c r="K113" i="15"/>
  <c r="L115" i="15"/>
  <c r="N115" i="15" s="1"/>
  <c r="K114" i="15"/>
  <c r="K50" i="15"/>
  <c r="L146" i="4" l="1"/>
  <c r="N147" i="4"/>
  <c r="N146" i="4" s="1"/>
  <c r="L173" i="4"/>
  <c r="N174" i="4"/>
  <c r="N173" i="4" s="1"/>
  <c r="J114" i="15"/>
  <c r="L114" i="15" l="1"/>
  <c r="J113" i="15"/>
  <c r="N139" i="4"/>
  <c r="K138" i="4"/>
  <c r="J138" i="4"/>
  <c r="K137" i="4"/>
  <c r="J137" i="4"/>
  <c r="L104" i="16"/>
  <c r="L103" i="16" s="1"/>
  <c r="L102" i="16" s="1"/>
  <c r="L365" i="16" s="1"/>
  <c r="K103" i="16"/>
  <c r="K102" i="16" s="1"/>
  <c r="K365" i="16" s="1"/>
  <c r="L303" i="15"/>
  <c r="N303" i="15" s="1"/>
  <c r="K302" i="15"/>
  <c r="K301" i="15" s="1"/>
  <c r="K300" i="15" s="1"/>
  <c r="J302" i="15"/>
  <c r="L302" i="15" l="1"/>
  <c r="N302" i="15" s="1"/>
  <c r="L113" i="15"/>
  <c r="N114" i="15"/>
  <c r="N113" i="15" s="1"/>
  <c r="L138" i="4"/>
  <c r="N138" i="4" s="1"/>
  <c r="J301" i="15"/>
  <c r="L301" i="15" s="1"/>
  <c r="L137" i="4"/>
  <c r="M104" i="16"/>
  <c r="N137" i="4" l="1"/>
  <c r="L300" i="15"/>
  <c r="N301" i="15"/>
  <c r="N300" i="15" s="1"/>
  <c r="M103" i="16"/>
  <c r="M102" i="16" s="1"/>
  <c r="M365" i="16" s="1"/>
  <c r="O104" i="16"/>
  <c r="O103" i="16" s="1"/>
  <c r="O102" i="16" s="1"/>
  <c r="J300" i="15"/>
  <c r="J122" i="15"/>
  <c r="L122" i="15" s="1"/>
  <c r="N122" i="15" s="1"/>
  <c r="K121" i="15"/>
  <c r="L120" i="15"/>
  <c r="N120" i="15" s="1"/>
  <c r="K119" i="15"/>
  <c r="K118" i="15" s="1"/>
  <c r="J119" i="15"/>
  <c r="J118" i="15" s="1"/>
  <c r="L106" i="15"/>
  <c r="N106" i="15" s="1"/>
  <c r="K105" i="15"/>
  <c r="J105" i="15"/>
  <c r="L105" i="15" s="1"/>
  <c r="N105" i="15" s="1"/>
  <c r="K104" i="15"/>
  <c r="J104" i="15"/>
  <c r="G82" i="2"/>
  <c r="I82" i="2" s="1"/>
  <c r="D81" i="2"/>
  <c r="D80" i="2" s="1"/>
  <c r="D75" i="2" s="1"/>
  <c r="E81" i="2"/>
  <c r="E80" i="2" s="1"/>
  <c r="E75" i="2" s="1"/>
  <c r="F81" i="2"/>
  <c r="F80" i="2" s="1"/>
  <c r="F75" i="2" s="1"/>
  <c r="G83" i="2"/>
  <c r="C81" i="2"/>
  <c r="C80" i="2" s="1"/>
  <c r="C75" i="2" s="1"/>
  <c r="K117" i="15" l="1"/>
  <c r="L104" i="15"/>
  <c r="L119" i="15"/>
  <c r="J121" i="15"/>
  <c r="J117" i="15" s="1"/>
  <c r="O365" i="16"/>
  <c r="G81" i="2"/>
  <c r="G80" i="2" s="1"/>
  <c r="I83" i="2"/>
  <c r="I81" i="2" s="1"/>
  <c r="I80" i="2" s="1"/>
  <c r="N104" i="15" l="1"/>
  <c r="L118" i="15"/>
  <c r="N119" i="15"/>
  <c r="N118" i="15" s="1"/>
  <c r="M96" i="16"/>
  <c r="L95" i="16"/>
  <c r="L94" i="16" s="1"/>
  <c r="K95" i="16"/>
  <c r="K94" i="16" s="1"/>
  <c r="L76" i="16"/>
  <c r="M76" i="16" s="1"/>
  <c r="O76" i="16" s="1"/>
  <c r="K75" i="16"/>
  <c r="K74" i="16"/>
  <c r="K367" i="16" s="1"/>
  <c r="K145" i="4"/>
  <c r="L145" i="4" s="1"/>
  <c r="N145" i="4" s="1"/>
  <c r="J144" i="4"/>
  <c r="J143" i="4"/>
  <c r="L112" i="15"/>
  <c r="N112" i="15" s="1"/>
  <c r="K111" i="15"/>
  <c r="J111" i="15"/>
  <c r="K110" i="15"/>
  <c r="J110" i="15"/>
  <c r="G57" i="2"/>
  <c r="I57" i="2" s="1"/>
  <c r="L255" i="16"/>
  <c r="J301" i="4"/>
  <c r="K301" i="4"/>
  <c r="K312" i="15"/>
  <c r="K311" i="15" s="1"/>
  <c r="L313" i="15"/>
  <c r="J312" i="15"/>
  <c r="J311" i="15" s="1"/>
  <c r="D54" i="2"/>
  <c r="E54" i="2"/>
  <c r="F54" i="2"/>
  <c r="C54" i="2"/>
  <c r="G56" i="2"/>
  <c r="I56" i="2" s="1"/>
  <c r="C33" i="2"/>
  <c r="D33" i="2"/>
  <c r="E33" i="2"/>
  <c r="F33" i="2"/>
  <c r="G35" i="2"/>
  <c r="I35" i="2" s="1"/>
  <c r="G36" i="2"/>
  <c r="I36" i="2" s="1"/>
  <c r="L312" i="15" l="1"/>
  <c r="N313" i="15"/>
  <c r="M95" i="16"/>
  <c r="M94" i="16" s="1"/>
  <c r="O96" i="16"/>
  <c r="O95" i="16" s="1"/>
  <c r="O94" i="16" s="1"/>
  <c r="L74" i="16"/>
  <c r="L110" i="15"/>
  <c r="K144" i="4"/>
  <c r="L144" i="4" s="1"/>
  <c r="N144" i="4" s="1"/>
  <c r="L301" i="4"/>
  <c r="N301" i="4" s="1"/>
  <c r="K143" i="4"/>
  <c r="L75" i="16"/>
  <c r="M75" i="16" s="1"/>
  <c r="O75" i="16" s="1"/>
  <c r="L111" i="15"/>
  <c r="N111" i="15" s="1"/>
  <c r="M255" i="16"/>
  <c r="N110" i="15" l="1"/>
  <c r="N312" i="15"/>
  <c r="O255" i="16"/>
  <c r="M74" i="16"/>
  <c r="L367" i="16"/>
  <c r="L143" i="4"/>
  <c r="N143" i="4" s="1"/>
  <c r="O74" i="16" l="1"/>
  <c r="O367" i="16" s="1"/>
  <c r="M367" i="16"/>
  <c r="K83" i="15"/>
  <c r="K82" i="15" s="1"/>
  <c r="L84" i="15"/>
  <c r="J83" i="15"/>
  <c r="J82" i="15" s="1"/>
  <c r="K288" i="15"/>
  <c r="K287" i="15" s="1"/>
  <c r="K286" i="15" s="1"/>
  <c r="K285" i="15" s="1"/>
  <c r="L289" i="15"/>
  <c r="J288" i="15"/>
  <c r="J287" i="15" s="1"/>
  <c r="J286" i="15" s="1"/>
  <c r="J285" i="15" s="1"/>
  <c r="L83" i="15" l="1"/>
  <c r="L82" i="15" s="1"/>
  <c r="N84" i="15"/>
  <c r="N83" i="15" s="1"/>
  <c r="N82" i="15" s="1"/>
  <c r="L288" i="15"/>
  <c r="L287" i="15" s="1"/>
  <c r="L286" i="15" s="1"/>
  <c r="L285" i="15" s="1"/>
  <c r="N289" i="15"/>
  <c r="N288" i="15" s="1"/>
  <c r="N287" i="15" s="1"/>
  <c r="N286" i="15" s="1"/>
  <c r="N285" i="15" s="1"/>
  <c r="D114" i="2" l="1"/>
  <c r="D69" i="2" s="1"/>
  <c r="E114" i="2"/>
  <c r="E69" i="2" s="1"/>
  <c r="G10" i="2"/>
  <c r="I10" i="2" s="1"/>
  <c r="G11" i="2"/>
  <c r="I11" i="2" s="1"/>
  <c r="G12" i="2"/>
  <c r="I12" i="2" s="1"/>
  <c r="G13" i="2"/>
  <c r="I13" i="2" s="1"/>
  <c r="G16" i="2"/>
  <c r="I16" i="2" s="1"/>
  <c r="G17" i="2"/>
  <c r="I17" i="2" s="1"/>
  <c r="G18" i="2"/>
  <c r="I18" i="2" s="1"/>
  <c r="G19" i="2"/>
  <c r="I19" i="2" s="1"/>
  <c r="G22" i="2"/>
  <c r="I22" i="2" s="1"/>
  <c r="G23" i="2"/>
  <c r="I23" i="2" s="1"/>
  <c r="G25" i="2"/>
  <c r="G27" i="2"/>
  <c r="G30" i="2"/>
  <c r="G34" i="2"/>
  <c r="G38" i="2"/>
  <c r="G41" i="2"/>
  <c r="G44" i="2"/>
  <c r="I44" i="2" s="1"/>
  <c r="G45" i="2"/>
  <c r="I45" i="2" s="1"/>
  <c r="G46" i="2"/>
  <c r="I46" i="2" s="1"/>
  <c r="G47" i="2"/>
  <c r="I47" i="2" s="1"/>
  <c r="G51" i="2"/>
  <c r="G55" i="2"/>
  <c r="I55" i="2" s="1"/>
  <c r="G60" i="2"/>
  <c r="G61" i="2"/>
  <c r="I61" i="2" s="1"/>
  <c r="G63" i="2"/>
  <c r="G64" i="2"/>
  <c r="I64" i="2" s="1"/>
  <c r="G65" i="2"/>
  <c r="I65" i="2" s="1"/>
  <c r="G67" i="2"/>
  <c r="G72" i="2"/>
  <c r="G74" i="2"/>
  <c r="G89" i="2"/>
  <c r="G91" i="2"/>
  <c r="G93" i="2"/>
  <c r="G96" i="2"/>
  <c r="I96" i="2" s="1"/>
  <c r="G97" i="2"/>
  <c r="G98" i="2"/>
  <c r="I98" i="2" s="1"/>
  <c r="G100" i="2"/>
  <c r="I100" i="2" s="1"/>
  <c r="G101" i="2"/>
  <c r="I101" i="2" s="1"/>
  <c r="G102" i="2"/>
  <c r="I102" i="2" s="1"/>
  <c r="G103" i="2"/>
  <c r="I103" i="2" s="1"/>
  <c r="G104" i="2"/>
  <c r="I104" i="2" s="1"/>
  <c r="G105" i="2"/>
  <c r="I105" i="2" s="1"/>
  <c r="G106" i="2"/>
  <c r="I106" i="2" s="1"/>
  <c r="G108" i="2"/>
  <c r="I108" i="2" s="1"/>
  <c r="G109" i="2"/>
  <c r="I109" i="2" s="1"/>
  <c r="G111" i="2"/>
  <c r="G113" i="2"/>
  <c r="K352" i="15"/>
  <c r="K351" i="15" s="1"/>
  <c r="L13" i="15"/>
  <c r="L20" i="15"/>
  <c r="L22" i="15"/>
  <c r="L29" i="15"/>
  <c r="L33" i="15"/>
  <c r="L37" i="15"/>
  <c r="L42" i="15"/>
  <c r="L45" i="15"/>
  <c r="L48" i="15"/>
  <c r="L50" i="15"/>
  <c r="L53" i="15"/>
  <c r="L56" i="15"/>
  <c r="L61" i="15"/>
  <c r="L63" i="15"/>
  <c r="L68" i="15"/>
  <c r="L70" i="15"/>
  <c r="L78" i="15"/>
  <c r="L81" i="15"/>
  <c r="L88" i="15"/>
  <c r="L92" i="15"/>
  <c r="L94" i="15"/>
  <c r="L97" i="15"/>
  <c r="L109" i="15"/>
  <c r="N109" i="15" s="1"/>
  <c r="O73" i="16" s="1"/>
  <c r="L123" i="15"/>
  <c r="N123" i="15" s="1"/>
  <c r="O68" i="16" s="1"/>
  <c r="O67" i="16" s="1"/>
  <c r="L142" i="15"/>
  <c r="N142" i="15" s="1"/>
  <c r="O121" i="16" s="1"/>
  <c r="O120" i="16" s="1"/>
  <c r="O119" i="16" s="1"/>
  <c r="L145" i="15"/>
  <c r="N145" i="15" s="1"/>
  <c r="O124" i="16" s="1"/>
  <c r="O123" i="16" s="1"/>
  <c r="O122" i="16" s="1"/>
  <c r="O362" i="16" s="1"/>
  <c r="L148" i="15"/>
  <c r="N148" i="15" s="1"/>
  <c r="O127" i="16" s="1"/>
  <c r="O126" i="16" s="1"/>
  <c r="O125" i="16" s="1"/>
  <c r="O363" i="16" s="1"/>
  <c r="L152" i="15"/>
  <c r="N152" i="15" s="1"/>
  <c r="O135" i="16" s="1"/>
  <c r="O134" i="16" s="1"/>
  <c r="O133" i="16" s="1"/>
  <c r="L157" i="15"/>
  <c r="N157" i="15" s="1"/>
  <c r="O148" i="16" s="1"/>
  <c r="O147" i="16" s="1"/>
  <c r="O146" i="16" s="1"/>
  <c r="L161" i="15"/>
  <c r="N161" i="15" s="1"/>
  <c r="O161" i="16" s="1"/>
  <c r="O160" i="16" s="1"/>
  <c r="O159" i="16" s="1"/>
  <c r="L165" i="15"/>
  <c r="N165" i="15" s="1"/>
  <c r="O156" i="16" s="1"/>
  <c r="O155" i="16" s="1"/>
  <c r="O154" i="16" s="1"/>
  <c r="O374" i="16" s="1"/>
  <c r="L169" i="15"/>
  <c r="N169" i="15" s="1"/>
  <c r="O151" i="16" s="1"/>
  <c r="O150" i="16" s="1"/>
  <c r="L171" i="15"/>
  <c r="N171" i="15" s="1"/>
  <c r="O153" i="16" s="1"/>
  <c r="O152" i="16" s="1"/>
  <c r="L176" i="15"/>
  <c r="N176" i="15" s="1"/>
  <c r="O140" i="16" s="1"/>
  <c r="O139" i="16" s="1"/>
  <c r="O138" i="16" s="1"/>
  <c r="L179" i="15"/>
  <c r="N179" i="15" s="1"/>
  <c r="O143" i="16" s="1"/>
  <c r="O142" i="16" s="1"/>
  <c r="O141" i="16" s="1"/>
  <c r="O355" i="16" s="1"/>
  <c r="L191" i="15"/>
  <c r="N191" i="15" s="1"/>
  <c r="L194" i="15"/>
  <c r="N194" i="15" s="1"/>
  <c r="L198" i="15"/>
  <c r="N198" i="15" s="1"/>
  <c r="O177" i="16" s="1"/>
  <c r="O176" i="16" s="1"/>
  <c r="O175" i="16" s="1"/>
  <c r="O331" i="16" s="1"/>
  <c r="L201" i="15"/>
  <c r="N201" i="15" s="1"/>
  <c r="O180" i="16" s="1"/>
  <c r="O179" i="16" s="1"/>
  <c r="O178" i="16" s="1"/>
  <c r="O332" i="16" s="1"/>
  <c r="L204" i="15"/>
  <c r="N204" i="15" s="1"/>
  <c r="O197" i="16" s="1"/>
  <c r="O196" i="16" s="1"/>
  <c r="O195" i="16" s="1"/>
  <c r="O341" i="16" s="1"/>
  <c r="L210" i="15"/>
  <c r="N210" i="15" s="1"/>
  <c r="L216" i="15"/>
  <c r="N216" i="15" s="1"/>
  <c r="O229" i="16" s="1"/>
  <c r="O228" i="16" s="1"/>
  <c r="O227" i="16" s="1"/>
  <c r="O370" i="16" s="1"/>
  <c r="L220" i="15"/>
  <c r="N220" i="15" s="1"/>
  <c r="O232" i="16" s="1"/>
  <c r="O231" i="16" s="1"/>
  <c r="O230" i="16" s="1"/>
  <c r="O373" i="16" s="1"/>
  <c r="L231" i="15"/>
  <c r="N231" i="15" s="1"/>
  <c r="O187" i="16" s="1"/>
  <c r="O186" i="16" s="1"/>
  <c r="L233" i="15"/>
  <c r="N233" i="15" s="1"/>
  <c r="O189" i="16" s="1"/>
  <c r="O188" i="16" s="1"/>
  <c r="L236" i="15"/>
  <c r="N236" i="15" s="1"/>
  <c r="O208" i="16" s="1"/>
  <c r="O207" i="16" s="1"/>
  <c r="L241" i="15"/>
  <c r="N241" i="15" s="1"/>
  <c r="O214" i="16" s="1"/>
  <c r="O213" i="16" s="1"/>
  <c r="L245" i="15"/>
  <c r="N245" i="15" s="1"/>
  <c r="O211" i="16" s="1"/>
  <c r="O210" i="16" s="1"/>
  <c r="O209" i="16" s="1"/>
  <c r="O345" i="16" s="1"/>
  <c r="L253" i="15"/>
  <c r="N253" i="15" s="1"/>
  <c r="O235" i="16" s="1"/>
  <c r="O234" i="16" s="1"/>
  <c r="O233" i="16" s="1"/>
  <c r="O376" i="16" s="1"/>
  <c r="L262" i="15"/>
  <c r="N262" i="15" s="1"/>
  <c r="O217" i="16" s="1"/>
  <c r="O216" i="16" s="1"/>
  <c r="L264" i="15"/>
  <c r="N264" i="15" s="1"/>
  <c r="O219" i="16" s="1"/>
  <c r="O218" i="16" s="1"/>
  <c r="L275" i="15"/>
  <c r="N275" i="15" s="1"/>
  <c r="L279" i="15"/>
  <c r="N279" i="15" s="1"/>
  <c r="O248" i="16" s="1"/>
  <c r="O247" i="16" s="1"/>
  <c r="O246" i="16" s="1"/>
  <c r="L284" i="15"/>
  <c r="N284" i="15" s="1"/>
  <c r="O271" i="16" s="1"/>
  <c r="O270" i="16" s="1"/>
  <c r="O269" i="16" s="1"/>
  <c r="L307" i="15"/>
  <c r="N307" i="15" s="1"/>
  <c r="O251" i="16" s="1"/>
  <c r="O250" i="16" s="1"/>
  <c r="O249" i="16" s="1"/>
  <c r="L314" i="15"/>
  <c r="L320" i="15"/>
  <c r="L328" i="15"/>
  <c r="N328" i="15" s="1"/>
  <c r="L350" i="15"/>
  <c r="N350" i="15" s="1"/>
  <c r="O300" i="16" s="1"/>
  <c r="O299" i="16" s="1"/>
  <c r="L353" i="15"/>
  <c r="K316" i="4"/>
  <c r="K308" i="4"/>
  <c r="K306" i="4" s="1"/>
  <c r="K305" i="4" s="1"/>
  <c r="K302" i="4"/>
  <c r="K300" i="4" s="1"/>
  <c r="K299" i="4" s="1"/>
  <c r="K292" i="4"/>
  <c r="K287" i="4"/>
  <c r="K282" i="4"/>
  <c r="K280" i="4"/>
  <c r="O206" i="16" l="1"/>
  <c r="O205" i="16" s="1"/>
  <c r="N92" i="15"/>
  <c r="O52" i="16" s="1"/>
  <c r="O51" i="16" s="1"/>
  <c r="N29" i="15"/>
  <c r="O87" i="16" s="1"/>
  <c r="O86" i="16" s="1"/>
  <c r="O85" i="16" s="1"/>
  <c r="N88" i="15"/>
  <c r="O93" i="16" s="1"/>
  <c r="O92" i="16" s="1"/>
  <c r="O91" i="16" s="1"/>
  <c r="O379" i="16" s="1"/>
  <c r="N68" i="15"/>
  <c r="O33" i="16" s="1"/>
  <c r="O32" i="16" s="1"/>
  <c r="N53" i="15"/>
  <c r="O62" i="16" s="1"/>
  <c r="O61" i="16" s="1"/>
  <c r="O60" i="16" s="1"/>
  <c r="O359" i="16" s="1"/>
  <c r="N42" i="15"/>
  <c r="O46" i="16" s="1"/>
  <c r="O45" i="16" s="1"/>
  <c r="O44" i="16" s="1"/>
  <c r="O352" i="16" s="1"/>
  <c r="N22" i="15"/>
  <c r="O21" i="16" s="1"/>
  <c r="N70" i="15"/>
  <c r="O35" i="16" s="1"/>
  <c r="N56" i="15"/>
  <c r="O65" i="16" s="1"/>
  <c r="O64" i="16" s="1"/>
  <c r="O63" i="16" s="1"/>
  <c r="O360" i="16" s="1"/>
  <c r="N97" i="15"/>
  <c r="O166" i="16" s="1"/>
  <c r="O165" i="16" s="1"/>
  <c r="O164" i="16" s="1"/>
  <c r="O358" i="16" s="1"/>
  <c r="N81" i="15"/>
  <c r="O101" i="16" s="1"/>
  <c r="O100" i="16" s="1"/>
  <c r="O364" i="16" s="1"/>
  <c r="N63" i="15"/>
  <c r="O84" i="16" s="1"/>
  <c r="O83" i="16" s="1"/>
  <c r="N50" i="15"/>
  <c r="O59" i="16" s="1"/>
  <c r="O58" i="16" s="1"/>
  <c r="N37" i="15"/>
  <c r="O38" i="16" s="1"/>
  <c r="O37" i="16" s="1"/>
  <c r="N20" i="15"/>
  <c r="O19" i="16" s="1"/>
  <c r="N45" i="15"/>
  <c r="O49" i="16" s="1"/>
  <c r="O48" i="16" s="1"/>
  <c r="O47" i="16" s="1"/>
  <c r="O353" i="16" s="1"/>
  <c r="N94" i="15"/>
  <c r="O54" i="16" s="1"/>
  <c r="O53" i="16" s="1"/>
  <c r="O50" i="16" s="1"/>
  <c r="O356" i="16" s="1"/>
  <c r="N78" i="15"/>
  <c r="O43" i="16" s="1"/>
  <c r="O42" i="16" s="1"/>
  <c r="O41" i="16" s="1"/>
  <c r="O339" i="16" s="1"/>
  <c r="N61" i="15"/>
  <c r="O82" i="16" s="1"/>
  <c r="O81" i="16" s="1"/>
  <c r="N48" i="15"/>
  <c r="O57" i="16" s="1"/>
  <c r="O56" i="16" s="1"/>
  <c r="N33" i="15"/>
  <c r="O279" i="16" s="1"/>
  <c r="O278" i="16" s="1"/>
  <c r="O277" i="16" s="1"/>
  <c r="O276" i="16" s="1"/>
  <c r="N13" i="15"/>
  <c r="N12" i="15" s="1"/>
  <c r="N11" i="15" s="1"/>
  <c r="O149" i="16"/>
  <c r="O368" i="16" s="1"/>
  <c r="L311" i="15"/>
  <c r="N314" i="15"/>
  <c r="O204" i="16"/>
  <c r="O344" i="16" s="1"/>
  <c r="O212" i="16"/>
  <c r="O351" i="16"/>
  <c r="L352" i="15"/>
  <c r="L351" i="15" s="1"/>
  <c r="N353" i="15"/>
  <c r="N369" i="15"/>
  <c r="O283" i="16"/>
  <c r="O282" i="16" s="1"/>
  <c r="O281" i="16" s="1"/>
  <c r="O280" i="16" s="1"/>
  <c r="O354" i="16"/>
  <c r="O137" i="16"/>
  <c r="O136" i="16" s="1"/>
  <c r="O158" i="16"/>
  <c r="O157" i="16" s="1"/>
  <c r="O371" i="16"/>
  <c r="N320" i="15"/>
  <c r="L318" i="15"/>
  <c r="L317" i="15" s="1"/>
  <c r="O340" i="16"/>
  <c r="O132" i="16"/>
  <c r="O131" i="16" s="1"/>
  <c r="O335" i="16"/>
  <c r="O72" i="16"/>
  <c r="O71" i="16"/>
  <c r="O366" i="16" s="1"/>
  <c r="O349" i="16"/>
  <c r="O12" i="16"/>
  <c r="O11" i="16" s="1"/>
  <c r="O10" i="16" s="1"/>
  <c r="I43" i="2"/>
  <c r="I42" i="2" s="1"/>
  <c r="I21" i="2"/>
  <c r="G92" i="2"/>
  <c r="I93" i="2"/>
  <c r="I92" i="2" s="1"/>
  <c r="G90" i="2"/>
  <c r="I91" i="2"/>
  <c r="I90" i="2" s="1"/>
  <c r="G112" i="2"/>
  <c r="I113" i="2"/>
  <c r="I112" i="2" s="1"/>
  <c r="I97" i="2"/>
  <c r="I95" i="2" s="1"/>
  <c r="I94" i="2" s="1"/>
  <c r="G110" i="2"/>
  <c r="I111" i="2"/>
  <c r="I110" i="2" s="1"/>
  <c r="G66" i="2"/>
  <c r="I67" i="2"/>
  <c r="I66" i="2" s="1"/>
  <c r="G40" i="2"/>
  <c r="G39" i="2" s="1"/>
  <c r="I41" i="2"/>
  <c r="I40" i="2" s="1"/>
  <c r="I39" i="2" s="1"/>
  <c r="G26" i="2"/>
  <c r="I27" i="2"/>
  <c r="I26" i="2" s="1"/>
  <c r="G88" i="2"/>
  <c r="I89" i="2"/>
  <c r="I88" i="2" s="1"/>
  <c r="G59" i="2"/>
  <c r="I60" i="2"/>
  <c r="I59" i="2" s="1"/>
  <c r="G37" i="2"/>
  <c r="I38" i="2"/>
  <c r="I37" i="2" s="1"/>
  <c r="G24" i="2"/>
  <c r="I25" i="2"/>
  <c r="I24" i="2" s="1"/>
  <c r="G73" i="2"/>
  <c r="I74" i="2"/>
  <c r="I73" i="2" s="1"/>
  <c r="G33" i="2"/>
  <c r="I34" i="2"/>
  <c r="I33" i="2" s="1"/>
  <c r="G71" i="2"/>
  <c r="G70" i="2" s="1"/>
  <c r="I72" i="2"/>
  <c r="I71" i="2" s="1"/>
  <c r="G62" i="2"/>
  <c r="I63" i="2"/>
  <c r="I62" i="2" s="1"/>
  <c r="G49" i="2"/>
  <c r="G48" i="2" s="1"/>
  <c r="I51" i="2"/>
  <c r="G29" i="2"/>
  <c r="G28" i="2" s="1"/>
  <c r="I30" i="2"/>
  <c r="I29" i="2" s="1"/>
  <c r="I28" i="2" s="1"/>
  <c r="I20" i="2"/>
  <c r="I15" i="2"/>
  <c r="I14" i="2" s="1"/>
  <c r="I9" i="2"/>
  <c r="I8" i="2" s="1"/>
  <c r="G95" i="2"/>
  <c r="G94" i="2" s="1"/>
  <c r="G54" i="2"/>
  <c r="G43" i="2"/>
  <c r="G42" i="2" s="1"/>
  <c r="G21" i="2"/>
  <c r="G15" i="2"/>
  <c r="G14" i="2" s="1"/>
  <c r="G9" i="2"/>
  <c r="G8" i="2" s="1"/>
  <c r="G58" i="2"/>
  <c r="G50" i="2"/>
  <c r="O163" i="16" l="1"/>
  <c r="O162" i="16" s="1"/>
  <c r="O80" i="16"/>
  <c r="O375" i="16" s="1"/>
  <c r="O99" i="16"/>
  <c r="O98" i="16" s="1"/>
  <c r="O97" i="16" s="1"/>
  <c r="O323" i="16"/>
  <c r="O55" i="16"/>
  <c r="O357" i="16" s="1"/>
  <c r="O145" i="16"/>
  <c r="O144" i="16" s="1"/>
  <c r="I70" i="2"/>
  <c r="N385" i="15" s="1"/>
  <c r="O261" i="16"/>
  <c r="O259" i="16" s="1"/>
  <c r="O258" i="16" s="1"/>
  <c r="O257" i="16" s="1"/>
  <c r="O346" i="16" s="1"/>
  <c r="N318" i="15"/>
  <c r="N317" i="15" s="1"/>
  <c r="O303" i="16"/>
  <c r="O302" i="16" s="1"/>
  <c r="O301" i="16" s="1"/>
  <c r="O324" i="16" s="1"/>
  <c r="N352" i="15"/>
  <c r="N351" i="15" s="1"/>
  <c r="O256" i="16"/>
  <c r="O254" i="16" s="1"/>
  <c r="O253" i="16" s="1"/>
  <c r="N311" i="15"/>
  <c r="O319" i="16"/>
  <c r="G32" i="2"/>
  <c r="G31" i="2" s="1"/>
  <c r="I87" i="2"/>
  <c r="G87" i="2"/>
  <c r="G20" i="2"/>
  <c r="I49" i="2"/>
  <c r="I48" i="2" s="1"/>
  <c r="I50" i="2"/>
  <c r="I32" i="2"/>
  <c r="I31" i="2" s="1"/>
  <c r="I58" i="2"/>
  <c r="G53" i="2"/>
  <c r="I54" i="2"/>
  <c r="O347" i="16" l="1"/>
  <c r="O252" i="16"/>
  <c r="G52" i="2"/>
  <c r="G7" i="2" s="1"/>
  <c r="I53" i="2"/>
  <c r="I52" i="2" s="1"/>
  <c r="I7" i="2" s="1"/>
  <c r="J320" i="17"/>
  <c r="N303" i="17"/>
  <c r="N302" i="17" s="1"/>
  <c r="J303" i="17"/>
  <c r="J302" i="17" s="1"/>
  <c r="N300" i="17"/>
  <c r="P300" i="17" s="1"/>
  <c r="J300" i="17"/>
  <c r="J299" i="17"/>
  <c r="N298" i="17"/>
  <c r="J298" i="17"/>
  <c r="J297" i="17" s="1"/>
  <c r="J296" i="17" s="1"/>
  <c r="J295" i="17" s="1"/>
  <c r="J294" i="17" s="1"/>
  <c r="J293" i="17"/>
  <c r="J292" i="17" s="1"/>
  <c r="N292" i="17"/>
  <c r="P292" i="17" s="1"/>
  <c r="J291" i="17"/>
  <c r="J290" i="17" s="1"/>
  <c r="N290" i="17"/>
  <c r="P290" i="17" s="1"/>
  <c r="J289" i="17"/>
  <c r="J288" i="17" s="1"/>
  <c r="N288" i="17"/>
  <c r="P288" i="17" s="1"/>
  <c r="N287" i="17"/>
  <c r="J285" i="17"/>
  <c r="J284" i="17" s="1"/>
  <c r="J283" i="17" s="1"/>
  <c r="J282" i="17" s="1"/>
  <c r="N284" i="17"/>
  <c r="P284" i="17" s="1"/>
  <c r="K284" i="17"/>
  <c r="N283" i="17"/>
  <c r="N279" i="17"/>
  <c r="K279" i="17"/>
  <c r="M279" i="17" s="1"/>
  <c r="K278" i="17"/>
  <c r="J278" i="17"/>
  <c r="J277" i="17" s="1"/>
  <c r="J276" i="17" s="1"/>
  <c r="J323" i="17" s="1"/>
  <c r="K274" i="17"/>
  <c r="J274" i="17"/>
  <c r="J273" i="17"/>
  <c r="J272" i="17" s="1"/>
  <c r="K270" i="17"/>
  <c r="J270" i="17"/>
  <c r="J269" i="17" s="1"/>
  <c r="J268" i="17" s="1"/>
  <c r="K269" i="17"/>
  <c r="N265" i="17"/>
  <c r="K265" i="17"/>
  <c r="M265" i="17" s="1"/>
  <c r="J265" i="17"/>
  <c r="J264" i="17" s="1"/>
  <c r="J263" i="17" s="1"/>
  <c r="J262" i="17" s="1"/>
  <c r="K264" i="17"/>
  <c r="N260" i="17"/>
  <c r="K260" i="17"/>
  <c r="M260" i="17" s="1"/>
  <c r="J260" i="17"/>
  <c r="J259" i="17" s="1"/>
  <c r="J258" i="17" s="1"/>
  <c r="J257" i="17" s="1"/>
  <c r="K259" i="17"/>
  <c r="N255" i="17"/>
  <c r="K255" i="17"/>
  <c r="J255" i="17"/>
  <c r="J254" i="17" s="1"/>
  <c r="J253" i="17" s="1"/>
  <c r="J251" i="17"/>
  <c r="J250" i="17" s="1"/>
  <c r="N250" i="17"/>
  <c r="P250" i="17" s="1"/>
  <c r="K250" i="17"/>
  <c r="M250" i="17" s="1"/>
  <c r="N249" i="17"/>
  <c r="P249" i="17" s="1"/>
  <c r="K249" i="17"/>
  <c r="J249" i="17"/>
  <c r="J248" i="17" s="1"/>
  <c r="N247" i="17"/>
  <c r="P247" i="17" s="1"/>
  <c r="K247" i="17"/>
  <c r="J247" i="17"/>
  <c r="J246" i="17"/>
  <c r="N240" i="17"/>
  <c r="P240" i="17" s="1"/>
  <c r="K240" i="17"/>
  <c r="M240" i="17" s="1"/>
  <c r="J240" i="17"/>
  <c r="N238" i="17"/>
  <c r="K238" i="17"/>
  <c r="M238" i="17" s="1"/>
  <c r="J238" i="17"/>
  <c r="J236" i="17"/>
  <c r="J235" i="17" s="1"/>
  <c r="N235" i="17"/>
  <c r="P235" i="17" s="1"/>
  <c r="K235" i="17"/>
  <c r="M235" i="17" s="1"/>
  <c r="J234" i="17"/>
  <c r="J233" i="17" s="1"/>
  <c r="N233" i="17"/>
  <c r="K233" i="17"/>
  <c r="M233" i="17" s="1"/>
  <c r="N229" i="17"/>
  <c r="K229" i="17"/>
  <c r="M229" i="17" s="1"/>
  <c r="J229" i="17"/>
  <c r="J228" i="17" s="1"/>
  <c r="K228" i="17"/>
  <c r="M228" i="17" s="1"/>
  <c r="N227" i="17"/>
  <c r="K227" i="17"/>
  <c r="M227" i="17" s="1"/>
  <c r="J227" i="17"/>
  <c r="J226" i="17" s="1"/>
  <c r="K226" i="17"/>
  <c r="M226" i="17" s="1"/>
  <c r="N225" i="17"/>
  <c r="K225" i="17"/>
  <c r="M225" i="17" s="1"/>
  <c r="J225" i="17"/>
  <c r="J224" i="17" s="1"/>
  <c r="J223" i="17" s="1"/>
  <c r="K224" i="17"/>
  <c r="N221" i="17"/>
  <c r="P221" i="17" s="1"/>
  <c r="K221" i="17"/>
  <c r="J221" i="17"/>
  <c r="J220" i="17" s="1"/>
  <c r="N217" i="17"/>
  <c r="K217" i="17"/>
  <c r="J217" i="17"/>
  <c r="J216" i="17" s="1"/>
  <c r="J215" i="17" s="1"/>
  <c r="N212" i="17"/>
  <c r="K212" i="17"/>
  <c r="M212" i="17" s="1"/>
  <c r="J212" i="17"/>
  <c r="J211" i="17" s="1"/>
  <c r="N209" i="17"/>
  <c r="P209" i="17" s="1"/>
  <c r="K209" i="17"/>
  <c r="M209" i="17" s="1"/>
  <c r="J209" i="17"/>
  <c r="N207" i="17"/>
  <c r="P207" i="17" s="1"/>
  <c r="K207" i="17"/>
  <c r="M207" i="17" s="1"/>
  <c r="J207" i="17"/>
  <c r="N204" i="17"/>
  <c r="K204" i="17"/>
  <c r="M204" i="17" s="1"/>
  <c r="J204" i="17"/>
  <c r="J203" i="17" s="1"/>
  <c r="J201" i="17"/>
  <c r="J200" i="17" s="1"/>
  <c r="J199" i="17" s="1"/>
  <c r="N200" i="17"/>
  <c r="K200" i="17"/>
  <c r="N196" i="17"/>
  <c r="K196" i="17"/>
  <c r="J196" i="17"/>
  <c r="J195" i="17" s="1"/>
  <c r="J194" i="17" s="1"/>
  <c r="N192" i="17"/>
  <c r="K192" i="17"/>
  <c r="J192" i="17"/>
  <c r="J191" i="17" s="1"/>
  <c r="N190" i="17"/>
  <c r="K190" i="17"/>
  <c r="M190" i="17" s="1"/>
  <c r="J190" i="17"/>
  <c r="J189" i="17" s="1"/>
  <c r="J188" i="17" s="1"/>
  <c r="K189" i="17"/>
  <c r="N186" i="17"/>
  <c r="K186" i="17"/>
  <c r="J186" i="17"/>
  <c r="J185" i="17" s="1"/>
  <c r="N183" i="17"/>
  <c r="P183" i="17" s="1"/>
  <c r="K183" i="17"/>
  <c r="J183" i="17"/>
  <c r="J182" i="17" s="1"/>
  <c r="N181" i="17"/>
  <c r="K181" i="17"/>
  <c r="M181" i="17" s="1"/>
  <c r="J180" i="17"/>
  <c r="J179" i="17" s="1"/>
  <c r="N178" i="17"/>
  <c r="K178" i="17"/>
  <c r="J177" i="17"/>
  <c r="J176" i="17" s="1"/>
  <c r="N174" i="17"/>
  <c r="K174" i="17"/>
  <c r="J173" i="17"/>
  <c r="J172" i="17" s="1"/>
  <c r="N170" i="17"/>
  <c r="K170" i="17"/>
  <c r="J170" i="17"/>
  <c r="J169" i="17" s="1"/>
  <c r="N168" i="17"/>
  <c r="P168" i="17" s="1"/>
  <c r="K168" i="17"/>
  <c r="M168" i="17" s="1"/>
  <c r="J168" i="17"/>
  <c r="J167" i="17" s="1"/>
  <c r="J166" i="17" s="1"/>
  <c r="N167" i="17"/>
  <c r="K167" i="17"/>
  <c r="M167" i="17" s="1"/>
  <c r="N165" i="17"/>
  <c r="P165" i="17" s="1"/>
  <c r="K165" i="17"/>
  <c r="J165" i="17"/>
  <c r="J164" i="17" s="1"/>
  <c r="J163" i="17" s="1"/>
  <c r="N158" i="17"/>
  <c r="K158" i="17"/>
  <c r="J158" i="17"/>
  <c r="J157" i="17" s="1"/>
  <c r="N155" i="17"/>
  <c r="K155" i="17"/>
  <c r="J155" i="17"/>
  <c r="J154" i="17" s="1"/>
  <c r="N150" i="17"/>
  <c r="P150" i="17" s="1"/>
  <c r="K150" i="17"/>
  <c r="M150" i="17" s="1"/>
  <c r="J150" i="17"/>
  <c r="N148" i="17"/>
  <c r="P148" i="17" s="1"/>
  <c r="K148" i="17"/>
  <c r="J148" i="17"/>
  <c r="N144" i="17"/>
  <c r="K144" i="17"/>
  <c r="J144" i="17"/>
  <c r="J142" i="17" s="1"/>
  <c r="N140" i="17"/>
  <c r="K140" i="17"/>
  <c r="J140" i="17"/>
  <c r="J139" i="17" s="1"/>
  <c r="J138" i="17" s="1"/>
  <c r="N136" i="17"/>
  <c r="K136" i="17"/>
  <c r="M136" i="17" s="1"/>
  <c r="J136" i="17"/>
  <c r="J135" i="17" s="1"/>
  <c r="J134" i="17" s="1"/>
  <c r="N131" i="17"/>
  <c r="K131" i="17"/>
  <c r="J131" i="17"/>
  <c r="J130" i="17"/>
  <c r="J129" i="17" s="1"/>
  <c r="N127" i="17"/>
  <c r="P127" i="17" s="1"/>
  <c r="K127" i="17"/>
  <c r="J127" i="17"/>
  <c r="J126" i="17" s="1"/>
  <c r="N124" i="17"/>
  <c r="K124" i="17"/>
  <c r="J124" i="17"/>
  <c r="J123" i="17" s="1"/>
  <c r="N121" i="17"/>
  <c r="K121" i="17"/>
  <c r="J121" i="17"/>
  <c r="J120" i="17" s="1"/>
  <c r="J119" i="17"/>
  <c r="J118" i="17" s="1"/>
  <c r="J117" i="17" s="1"/>
  <c r="N118" i="17"/>
  <c r="K118" i="17"/>
  <c r="J116" i="17"/>
  <c r="J115" i="17" s="1"/>
  <c r="J114" i="17" s="1"/>
  <c r="N115" i="17"/>
  <c r="K115" i="17"/>
  <c r="N113" i="17"/>
  <c r="P113" i="17" s="1"/>
  <c r="K113" i="17"/>
  <c r="M113" i="17" s="1"/>
  <c r="J113" i="17"/>
  <c r="J112" i="17" s="1"/>
  <c r="J111" i="17" s="1"/>
  <c r="K112" i="17"/>
  <c r="N110" i="17"/>
  <c r="P110" i="17" s="1"/>
  <c r="K110" i="17"/>
  <c r="J110" i="17"/>
  <c r="J109" i="17" s="1"/>
  <c r="J108" i="17" s="1"/>
  <c r="N109" i="17"/>
  <c r="P109" i="17" s="1"/>
  <c r="J105" i="17"/>
  <c r="J104" i="17" s="1"/>
  <c r="K104" i="17"/>
  <c r="K102" i="17"/>
  <c r="J102" i="17"/>
  <c r="N97" i="17"/>
  <c r="P97" i="17" s="1"/>
  <c r="K97" i="17"/>
  <c r="M97" i="17" s="1"/>
  <c r="J97" i="17"/>
  <c r="N96" i="17"/>
  <c r="K96" i="17"/>
  <c r="M96" i="17" s="1"/>
  <c r="J96" i="17"/>
  <c r="J95" i="17" s="1"/>
  <c r="K95" i="17"/>
  <c r="N94" i="17"/>
  <c r="P94" i="17" s="1"/>
  <c r="K94" i="17"/>
  <c r="J94" i="17"/>
  <c r="J93" i="17" s="1"/>
  <c r="J92" i="17" s="1"/>
  <c r="J91" i="17" s="1"/>
  <c r="N88" i="17"/>
  <c r="K88" i="17"/>
  <c r="J88" i="17"/>
  <c r="J87" i="17" s="1"/>
  <c r="N85" i="17"/>
  <c r="P85" i="17" s="1"/>
  <c r="K85" i="17"/>
  <c r="M85" i="17" s="1"/>
  <c r="J85" i="17"/>
  <c r="N83" i="17"/>
  <c r="K83" i="17"/>
  <c r="J83" i="17"/>
  <c r="N79" i="17"/>
  <c r="K79" i="17"/>
  <c r="J79" i="17"/>
  <c r="J78" i="17"/>
  <c r="J77" i="17" s="1"/>
  <c r="N75" i="17"/>
  <c r="K75" i="17"/>
  <c r="J75" i="17"/>
  <c r="J74" i="17"/>
  <c r="N72" i="17"/>
  <c r="P72" i="17" s="1"/>
  <c r="K72" i="17"/>
  <c r="J72" i="17"/>
  <c r="J71" i="17" s="1"/>
  <c r="N67" i="17"/>
  <c r="P67" i="17" s="1"/>
  <c r="K67" i="17"/>
  <c r="M67" i="17" s="1"/>
  <c r="J67" i="17"/>
  <c r="N65" i="17"/>
  <c r="K65" i="17"/>
  <c r="J65" i="17"/>
  <c r="N60" i="17"/>
  <c r="P60" i="17" s="1"/>
  <c r="K60" i="17"/>
  <c r="M60" i="17" s="1"/>
  <c r="J60" i="17"/>
  <c r="N58" i="17"/>
  <c r="P58" i="17" s="1"/>
  <c r="K58" i="17"/>
  <c r="J58" i="17"/>
  <c r="N53" i="17"/>
  <c r="K53" i="17"/>
  <c r="J53" i="17"/>
  <c r="J52" i="17" s="1"/>
  <c r="K50" i="17"/>
  <c r="J50" i="17"/>
  <c r="J49" i="17" s="1"/>
  <c r="K47" i="17"/>
  <c r="J47" i="17"/>
  <c r="K45" i="17"/>
  <c r="J45" i="17"/>
  <c r="N42" i="17"/>
  <c r="K42" i="17"/>
  <c r="M42" i="17" s="1"/>
  <c r="J42" i="17"/>
  <c r="J41" i="17" s="1"/>
  <c r="N39" i="17"/>
  <c r="K39" i="17"/>
  <c r="J39" i="17"/>
  <c r="J38" i="17" s="1"/>
  <c r="N37" i="17"/>
  <c r="K37" i="17"/>
  <c r="M37" i="17" s="1"/>
  <c r="J37" i="17"/>
  <c r="J36" i="17" s="1"/>
  <c r="N34" i="17"/>
  <c r="K34" i="17"/>
  <c r="J34" i="17"/>
  <c r="J33" i="17" s="1"/>
  <c r="N30" i="17"/>
  <c r="K30" i="17"/>
  <c r="J30" i="17"/>
  <c r="J29" i="17" s="1"/>
  <c r="J28" i="17" s="1"/>
  <c r="N26" i="17"/>
  <c r="K26" i="17"/>
  <c r="J26" i="17"/>
  <c r="J25" i="17" s="1"/>
  <c r="J24" i="17" s="1"/>
  <c r="J23" i="17"/>
  <c r="J22" i="17" s="1"/>
  <c r="J21" i="17" s="1"/>
  <c r="N22" i="17"/>
  <c r="K22" i="17"/>
  <c r="J19" i="17"/>
  <c r="J17" i="17" s="1"/>
  <c r="N18" i="17"/>
  <c r="P18" i="17" s="1"/>
  <c r="K18" i="17"/>
  <c r="J16" i="17"/>
  <c r="J15" i="17" s="1"/>
  <c r="N15" i="17"/>
  <c r="P15" i="17" s="1"/>
  <c r="K15" i="17"/>
  <c r="M15" i="17" s="1"/>
  <c r="J14" i="17"/>
  <c r="J13" i="17" s="1"/>
  <c r="N13" i="17"/>
  <c r="P13" i="17" s="1"/>
  <c r="K13" i="17"/>
  <c r="M13" i="17" s="1"/>
  <c r="K10" i="17"/>
  <c r="K9" i="17" s="1"/>
  <c r="J10" i="17"/>
  <c r="J9" i="17" s="1"/>
  <c r="L265" i="5"/>
  <c r="K265" i="5"/>
  <c r="K264" i="5" s="1"/>
  <c r="K263" i="5" s="1"/>
  <c r="K262" i="5"/>
  <c r="K261" i="5" s="1"/>
  <c r="N256" i="5"/>
  <c r="N254" i="5"/>
  <c r="K245" i="5"/>
  <c r="K244" i="5" s="1"/>
  <c r="K243" i="5" s="1"/>
  <c r="K242" i="5" s="1"/>
  <c r="K241" i="5"/>
  <c r="K240" i="5" s="1"/>
  <c r="K239" i="5" s="1"/>
  <c r="K238" i="5" s="1"/>
  <c r="K236" i="5"/>
  <c r="K235" i="5" s="1"/>
  <c r="K234" i="5" s="1"/>
  <c r="O232" i="5"/>
  <c r="O231" i="5" s="1"/>
  <c r="L232" i="5"/>
  <c r="L231" i="5" s="1"/>
  <c r="K233" i="5"/>
  <c r="K232" i="5" s="1"/>
  <c r="K231" i="5" s="1"/>
  <c r="K230" i="5"/>
  <c r="K229" i="5" s="1"/>
  <c r="K228" i="5" s="1"/>
  <c r="K227" i="5"/>
  <c r="K226" i="5" s="1"/>
  <c r="K225" i="5" s="1"/>
  <c r="K224" i="5"/>
  <c r="K223" i="5" s="1"/>
  <c r="K222" i="5" s="1"/>
  <c r="K221" i="5"/>
  <c r="N218" i="5"/>
  <c r="K211" i="5"/>
  <c r="K210" i="5" s="1"/>
  <c r="K209" i="5" s="1"/>
  <c r="K208" i="5"/>
  <c r="K207" i="5" s="1"/>
  <c r="K206" i="5" s="1"/>
  <c r="K205" i="5"/>
  <c r="K204" i="5" s="1"/>
  <c r="K203" i="5" s="1"/>
  <c r="K195" i="5"/>
  <c r="K194" i="5" s="1"/>
  <c r="K193" i="5"/>
  <c r="K192" i="5" s="1"/>
  <c r="K190" i="5"/>
  <c r="K189" i="5" s="1"/>
  <c r="K188" i="5" s="1"/>
  <c r="K187" i="5"/>
  <c r="K186" i="5" s="1"/>
  <c r="K185" i="5" s="1"/>
  <c r="K184" i="5"/>
  <c r="K183" i="5" s="1"/>
  <c r="K182" i="5"/>
  <c r="K181" i="5" s="1"/>
  <c r="K176" i="5"/>
  <c r="K175" i="5" s="1"/>
  <c r="K174" i="5" s="1"/>
  <c r="K168" i="5"/>
  <c r="K167" i="5" s="1"/>
  <c r="K166" i="5"/>
  <c r="K165" i="5" s="1"/>
  <c r="K159" i="5"/>
  <c r="K158" i="5" s="1"/>
  <c r="K157" i="5" s="1"/>
  <c r="K156" i="5"/>
  <c r="K155" i="5" s="1"/>
  <c r="K154" i="5" s="1"/>
  <c r="K145" i="5"/>
  <c r="K144" i="5" s="1"/>
  <c r="K143" i="5" s="1"/>
  <c r="K142" i="5" s="1"/>
  <c r="K141" i="5" s="1"/>
  <c r="K140" i="5"/>
  <c r="K139" i="5" s="1"/>
  <c r="K138" i="5" s="1"/>
  <c r="K137" i="5" s="1"/>
  <c r="K136" i="5" s="1"/>
  <c r="K135" i="5"/>
  <c r="K134" i="5" s="1"/>
  <c r="K133" i="5" s="1"/>
  <c r="K132" i="5"/>
  <c r="K131" i="5" s="1"/>
  <c r="K130" i="5"/>
  <c r="K129" i="5" s="1"/>
  <c r="K127" i="5"/>
  <c r="K126" i="5" s="1"/>
  <c r="K125" i="5" s="1"/>
  <c r="K122" i="5"/>
  <c r="K121" i="5" s="1"/>
  <c r="K120" i="5" s="1"/>
  <c r="K119" i="5"/>
  <c r="K118" i="5" s="1"/>
  <c r="K117" i="5" s="1"/>
  <c r="K114" i="5"/>
  <c r="K113" i="5" s="1"/>
  <c r="K112" i="5" s="1"/>
  <c r="K111" i="5" s="1"/>
  <c r="K110" i="5" s="1"/>
  <c r="K109" i="5"/>
  <c r="K108" i="5" s="1"/>
  <c r="K107" i="5" s="1"/>
  <c r="K106" i="5"/>
  <c r="K105" i="5" s="1"/>
  <c r="K104" i="5" s="1"/>
  <c r="K103" i="5"/>
  <c r="K102" i="5" s="1"/>
  <c r="K101" i="5" s="1"/>
  <c r="L100" i="5"/>
  <c r="L97" i="5"/>
  <c r="K86" i="5"/>
  <c r="K85" i="5" s="1"/>
  <c r="K84" i="5" s="1"/>
  <c r="K83" i="5" s="1"/>
  <c r="K82" i="5" s="1"/>
  <c r="K81" i="5"/>
  <c r="K80" i="5" s="1"/>
  <c r="K79" i="5" s="1"/>
  <c r="K75" i="5"/>
  <c r="K74" i="5" s="1"/>
  <c r="K73" i="5" s="1"/>
  <c r="K72" i="5"/>
  <c r="K71" i="5" s="1"/>
  <c r="K70" i="5"/>
  <c r="K69" i="5" s="1"/>
  <c r="K67" i="5"/>
  <c r="K65" i="5" s="1"/>
  <c r="L63" i="5"/>
  <c r="O61" i="5"/>
  <c r="K62" i="5"/>
  <c r="K61" i="5" s="1"/>
  <c r="K59" i="5"/>
  <c r="K58" i="5" s="1"/>
  <c r="K57" i="5" s="1"/>
  <c r="O55" i="5"/>
  <c r="L55" i="5"/>
  <c r="K56" i="5"/>
  <c r="K55" i="5" s="1"/>
  <c r="K54" i="5" s="1"/>
  <c r="K53" i="5"/>
  <c r="K52" i="5" s="1"/>
  <c r="O50" i="5"/>
  <c r="L50" i="5"/>
  <c r="N50" i="5" s="1"/>
  <c r="K51" i="5"/>
  <c r="K50" i="5" s="1"/>
  <c r="K48" i="5"/>
  <c r="K47" i="5" s="1"/>
  <c r="K46" i="5"/>
  <c r="K45" i="5" s="1"/>
  <c r="K43" i="5"/>
  <c r="K42" i="5" s="1"/>
  <c r="K41" i="5" s="1"/>
  <c r="K40" i="5"/>
  <c r="K39" i="5" s="1"/>
  <c r="K38" i="5" s="1"/>
  <c r="K37" i="5"/>
  <c r="K36" i="5" s="1"/>
  <c r="K35" i="5" s="1"/>
  <c r="N34" i="5"/>
  <c r="N33" i="5" s="1"/>
  <c r="K32" i="5"/>
  <c r="K31" i="5" s="1"/>
  <c r="Q29" i="5"/>
  <c r="Q28" i="5" s="1"/>
  <c r="N29" i="5"/>
  <c r="N28" i="5" s="1"/>
  <c r="K29" i="5"/>
  <c r="K27" i="5"/>
  <c r="K26" i="5" s="1"/>
  <c r="Q21" i="5"/>
  <c r="N21" i="5"/>
  <c r="K21" i="5"/>
  <c r="N20" i="5"/>
  <c r="Q19" i="5"/>
  <c r="N19" i="5"/>
  <c r="K19" i="5"/>
  <c r="N17" i="5"/>
  <c r="K12" i="5"/>
  <c r="K11" i="5" s="1"/>
  <c r="K10" i="5" s="1"/>
  <c r="O303" i="5"/>
  <c r="L298" i="16"/>
  <c r="L297" i="16" s="1"/>
  <c r="L300" i="16"/>
  <c r="L299" i="16" s="1"/>
  <c r="M300" i="16"/>
  <c r="M299" i="16" s="1"/>
  <c r="L303" i="16"/>
  <c r="L302" i="16" s="1"/>
  <c r="L301" i="16" s="1"/>
  <c r="L324" i="16" s="1"/>
  <c r="M303" i="16"/>
  <c r="M302" i="16" s="1"/>
  <c r="M301" i="16" s="1"/>
  <c r="M324" i="16" s="1"/>
  <c r="K303" i="16"/>
  <c r="K300" i="16"/>
  <c r="O11" i="5" l="1"/>
  <c r="Q12" i="5"/>
  <c r="L26" i="5"/>
  <c r="N26" i="5" s="1"/>
  <c r="N27" i="5"/>
  <c r="L42" i="5"/>
  <c r="N43" i="5"/>
  <c r="O45" i="5"/>
  <c r="Q45" i="5" s="1"/>
  <c r="Q46" i="5"/>
  <c r="L52" i="5"/>
  <c r="N52" i="5" s="1"/>
  <c r="N53" i="5"/>
  <c r="L69" i="5"/>
  <c r="N69" i="5" s="1"/>
  <c r="N70" i="5"/>
  <c r="O71" i="5"/>
  <c r="Q71" i="5" s="1"/>
  <c r="Q72" i="5"/>
  <c r="L77" i="5"/>
  <c r="N78" i="5"/>
  <c r="L93" i="5"/>
  <c r="N94" i="5"/>
  <c r="L102" i="5"/>
  <c r="N103" i="5"/>
  <c r="O105" i="5"/>
  <c r="Q106" i="5"/>
  <c r="L118" i="5"/>
  <c r="N119" i="5"/>
  <c r="O121" i="5"/>
  <c r="Q122" i="5"/>
  <c r="L131" i="5"/>
  <c r="N131" i="5" s="1"/>
  <c r="N132" i="5"/>
  <c r="O134" i="5"/>
  <c r="Q135" i="5"/>
  <c r="L152" i="5"/>
  <c r="N153" i="5"/>
  <c r="L167" i="5"/>
  <c r="N167" i="5" s="1"/>
  <c r="N168" i="5"/>
  <c r="L183" i="5"/>
  <c r="N183" i="5" s="1"/>
  <c r="N184" i="5"/>
  <c r="O186" i="5"/>
  <c r="Q187" i="5"/>
  <c r="L194" i="5"/>
  <c r="N194" i="5" s="1"/>
  <c r="N195" i="5"/>
  <c r="L201" i="5"/>
  <c r="N202" i="5"/>
  <c r="L210" i="5"/>
  <c r="N211" i="5"/>
  <c r="L219" i="5"/>
  <c r="N219" i="5" s="1"/>
  <c r="N220" i="5"/>
  <c r="O223" i="5"/>
  <c r="Q224" i="5"/>
  <c r="O235" i="5"/>
  <c r="Q236" i="5"/>
  <c r="L251" i="5"/>
  <c r="N251" i="5" s="1"/>
  <c r="N252" i="5"/>
  <c r="L264" i="5"/>
  <c r="N265" i="5"/>
  <c r="L14" i="5"/>
  <c r="N15" i="5"/>
  <c r="O26" i="5"/>
  <c r="Q26" i="5" s="1"/>
  <c r="Q27" i="5"/>
  <c r="L39" i="5"/>
  <c r="N40" i="5"/>
  <c r="O42" i="5"/>
  <c r="Q43" i="5"/>
  <c r="O52" i="5"/>
  <c r="Q52" i="5" s="1"/>
  <c r="Q49" i="5" s="1"/>
  <c r="Q53" i="5"/>
  <c r="L61" i="5"/>
  <c r="L60" i="5" s="1"/>
  <c r="N62" i="5"/>
  <c r="N61" i="5" s="1"/>
  <c r="N60" i="5" s="1"/>
  <c r="L65" i="5"/>
  <c r="N65" i="5" s="1"/>
  <c r="N67" i="5"/>
  <c r="O69" i="5"/>
  <c r="Q69" i="5" s="1"/>
  <c r="Q70" i="5"/>
  <c r="L85" i="5"/>
  <c r="N86" i="5"/>
  <c r="L96" i="5"/>
  <c r="N97" i="5"/>
  <c r="O102" i="5"/>
  <c r="Q103" i="5"/>
  <c r="L113" i="5"/>
  <c r="N114" i="5"/>
  <c r="O118" i="5"/>
  <c r="Q119" i="5"/>
  <c r="L129" i="5"/>
  <c r="N129" i="5" s="1"/>
  <c r="N130" i="5"/>
  <c r="O131" i="5"/>
  <c r="Q131" i="5" s="1"/>
  <c r="Q132" i="5"/>
  <c r="L144" i="5"/>
  <c r="N145" i="5"/>
  <c r="L158" i="5"/>
  <c r="N159" i="5"/>
  <c r="L165" i="5"/>
  <c r="N165" i="5" s="1"/>
  <c r="N166" i="5"/>
  <c r="O167" i="5"/>
  <c r="Q167" i="5" s="1"/>
  <c r="Q168" i="5"/>
  <c r="L175" i="5"/>
  <c r="N176" i="5"/>
  <c r="L181" i="5"/>
  <c r="N181" i="5" s="1"/>
  <c r="N182" i="5"/>
  <c r="O183" i="5"/>
  <c r="Q183" i="5" s="1"/>
  <c r="Q184" i="5"/>
  <c r="L192" i="5"/>
  <c r="N192" i="5" s="1"/>
  <c r="N193" i="5"/>
  <c r="O194" i="5"/>
  <c r="Q194" i="5" s="1"/>
  <c r="Q195" i="5"/>
  <c r="L207" i="5"/>
  <c r="N208" i="5"/>
  <c r="O210" i="5"/>
  <c r="Q211" i="5"/>
  <c r="L229" i="5"/>
  <c r="N230" i="5"/>
  <c r="L244" i="5"/>
  <c r="N245" i="5"/>
  <c r="L261" i="5"/>
  <c r="N261" i="5" s="1"/>
  <c r="N262" i="5"/>
  <c r="O264" i="5"/>
  <c r="Q265" i="5"/>
  <c r="L23" i="5"/>
  <c r="N24" i="5"/>
  <c r="L31" i="5"/>
  <c r="N31" i="5" s="1"/>
  <c r="N32" i="5"/>
  <c r="L36" i="5"/>
  <c r="N37" i="5"/>
  <c r="O39" i="5"/>
  <c r="Q40" i="5"/>
  <c r="L47" i="5"/>
  <c r="N47" i="5" s="1"/>
  <c r="N48" i="5"/>
  <c r="L58" i="5"/>
  <c r="N59" i="5"/>
  <c r="O66" i="5"/>
  <c r="Q66" i="5" s="1"/>
  <c r="Q67" i="5"/>
  <c r="L74" i="5"/>
  <c r="N75" i="5"/>
  <c r="L80" i="5"/>
  <c r="N81" i="5"/>
  <c r="O85" i="5"/>
  <c r="Q86" i="5"/>
  <c r="L99" i="5"/>
  <c r="N100" i="5"/>
  <c r="L108" i="5"/>
  <c r="N109" i="5"/>
  <c r="O113" i="5"/>
  <c r="Q114" i="5"/>
  <c r="L126" i="5"/>
  <c r="N127" i="5"/>
  <c r="O129" i="5"/>
  <c r="Q129" i="5" s="1"/>
  <c r="Q130" i="5"/>
  <c r="L139" i="5"/>
  <c r="N140" i="5"/>
  <c r="O144" i="5"/>
  <c r="Q145" i="5"/>
  <c r="L155" i="5"/>
  <c r="N156" i="5"/>
  <c r="O158" i="5"/>
  <c r="Q159" i="5"/>
  <c r="O165" i="5"/>
  <c r="Q165" i="5" s="1"/>
  <c r="Q166" i="5"/>
  <c r="L170" i="5"/>
  <c r="N170" i="5" s="1"/>
  <c r="N171" i="5"/>
  <c r="O175" i="5"/>
  <c r="Q176" i="5"/>
  <c r="O181" i="5"/>
  <c r="Q181" i="5" s="1"/>
  <c r="Q182" i="5"/>
  <c r="L189" i="5"/>
  <c r="N190" i="5"/>
  <c r="O192" i="5"/>
  <c r="Q192" i="5" s="1"/>
  <c r="Q193" i="5"/>
  <c r="L196" i="5"/>
  <c r="N196" i="5" s="1"/>
  <c r="N197" i="5"/>
  <c r="L204" i="5"/>
  <c r="N205" i="5"/>
  <c r="O207" i="5"/>
  <c r="Q208" i="5"/>
  <c r="L215" i="5"/>
  <c r="N215" i="5" s="1"/>
  <c r="N216" i="5"/>
  <c r="L226" i="5"/>
  <c r="N227" i="5"/>
  <c r="O229" i="5"/>
  <c r="Q230" i="5"/>
  <c r="L240" i="5"/>
  <c r="N241" i="5"/>
  <c r="O244" i="5"/>
  <c r="Q245" i="5"/>
  <c r="O261" i="5"/>
  <c r="Q261" i="5" s="1"/>
  <c r="Q262" i="5"/>
  <c r="L11" i="5"/>
  <c r="N12" i="5"/>
  <c r="O31" i="5"/>
  <c r="Q31" i="5" s="1"/>
  <c r="Q32" i="5"/>
  <c r="O36" i="5"/>
  <c r="Q37" i="5"/>
  <c r="L45" i="5"/>
  <c r="N45" i="5" s="1"/>
  <c r="N46" i="5"/>
  <c r="O47" i="5"/>
  <c r="Q47" i="5" s="1"/>
  <c r="Q48" i="5"/>
  <c r="L54" i="5"/>
  <c r="N54" i="5" s="1"/>
  <c r="N55" i="5"/>
  <c r="O58" i="5"/>
  <c r="Q59" i="5"/>
  <c r="L71" i="5"/>
  <c r="N71" i="5" s="1"/>
  <c r="N72" i="5"/>
  <c r="O74" i="5"/>
  <c r="Q75" i="5"/>
  <c r="O80" i="5"/>
  <c r="Q81" i="5"/>
  <c r="L90" i="5"/>
  <c r="N91" i="5"/>
  <c r="L105" i="5"/>
  <c r="N106" i="5"/>
  <c r="O108" i="5"/>
  <c r="Q109" i="5"/>
  <c r="L121" i="5"/>
  <c r="O126" i="5"/>
  <c r="Q127" i="5"/>
  <c r="L134" i="5"/>
  <c r="N135" i="5"/>
  <c r="O139" i="5"/>
  <c r="Q140" i="5"/>
  <c r="L149" i="5"/>
  <c r="N150" i="5"/>
  <c r="O155" i="5"/>
  <c r="Q156" i="5"/>
  <c r="L161" i="5"/>
  <c r="N161" i="5" s="1"/>
  <c r="N162" i="5"/>
  <c r="L172" i="5"/>
  <c r="N172" i="5" s="1"/>
  <c r="N173" i="5"/>
  <c r="L178" i="5"/>
  <c r="N179" i="5"/>
  <c r="L186" i="5"/>
  <c r="N187" i="5"/>
  <c r="O189" i="5"/>
  <c r="Q190" i="5"/>
  <c r="L198" i="5"/>
  <c r="N198" i="5" s="1"/>
  <c r="N199" i="5"/>
  <c r="O204" i="5"/>
  <c r="Q205" i="5"/>
  <c r="L223" i="5"/>
  <c r="N224" i="5"/>
  <c r="O226" i="5"/>
  <c r="Q227" i="5"/>
  <c r="L235" i="5"/>
  <c r="N236" i="5"/>
  <c r="O240" i="5"/>
  <c r="Q241" i="5"/>
  <c r="L248" i="5"/>
  <c r="N249" i="5"/>
  <c r="L259" i="5"/>
  <c r="N259" i="5" s="1"/>
  <c r="N260" i="5"/>
  <c r="O54" i="5"/>
  <c r="J12" i="17"/>
  <c r="N21" i="17"/>
  <c r="P21" i="17" s="1"/>
  <c r="P22" i="17"/>
  <c r="N25" i="17"/>
  <c r="P26" i="17"/>
  <c r="K38" i="17"/>
  <c r="M38" i="17" s="1"/>
  <c r="M39" i="17"/>
  <c r="K52" i="17"/>
  <c r="M52" i="17" s="1"/>
  <c r="M53" i="17"/>
  <c r="K71" i="17"/>
  <c r="M71" i="17" s="1"/>
  <c r="M72" i="17"/>
  <c r="K74" i="17"/>
  <c r="M74" i="17" s="1"/>
  <c r="M75" i="17"/>
  <c r="K78" i="17"/>
  <c r="M79" i="17"/>
  <c r="N82" i="17"/>
  <c r="P83" i="17"/>
  <c r="J90" i="17"/>
  <c r="K111" i="17"/>
  <c r="M111" i="17" s="1"/>
  <c r="M112" i="17"/>
  <c r="K123" i="17"/>
  <c r="M123" i="17" s="1"/>
  <c r="M124" i="17"/>
  <c r="K126" i="17"/>
  <c r="M126" i="17" s="1"/>
  <c r="M127" i="17"/>
  <c r="K130" i="17"/>
  <c r="M131" i="17"/>
  <c r="N139" i="17"/>
  <c r="P140" i="17"/>
  <c r="K143" i="17"/>
  <c r="M143" i="17" s="1"/>
  <c r="M144" i="17"/>
  <c r="K147" i="17"/>
  <c r="M148" i="17"/>
  <c r="K177" i="17"/>
  <c r="M178" i="17"/>
  <c r="K180" i="17"/>
  <c r="K188" i="17"/>
  <c r="M188" i="17" s="1"/>
  <c r="M189" i="17"/>
  <c r="K199" i="17"/>
  <c r="M199" i="17" s="1"/>
  <c r="M200" i="17"/>
  <c r="K206" i="17"/>
  <c r="K223" i="17"/>
  <c r="M224" i="17"/>
  <c r="K246" i="17"/>
  <c r="M246" i="17" s="1"/>
  <c r="M247" i="17"/>
  <c r="K258" i="17"/>
  <c r="M259" i="17"/>
  <c r="K263" i="17"/>
  <c r="M264" i="17"/>
  <c r="K268" i="17"/>
  <c r="M268" i="17"/>
  <c r="N320" i="17"/>
  <c r="P279" i="17"/>
  <c r="M34" i="17"/>
  <c r="N38" i="17"/>
  <c r="P38" i="17" s="1"/>
  <c r="P39" i="17"/>
  <c r="N41" i="17"/>
  <c r="P41" i="17" s="1"/>
  <c r="P42" i="17"/>
  <c r="K49" i="17"/>
  <c r="N52" i="17"/>
  <c r="P52" i="17" s="1"/>
  <c r="P53" i="17"/>
  <c r="K64" i="17"/>
  <c r="M65" i="17"/>
  <c r="N74" i="17"/>
  <c r="P74" i="17" s="1"/>
  <c r="P75" i="17"/>
  <c r="N78" i="17"/>
  <c r="P79" i="17"/>
  <c r="K87" i="17"/>
  <c r="M87" i="17" s="1"/>
  <c r="M88" i="17"/>
  <c r="K93" i="17"/>
  <c r="M94" i="17"/>
  <c r="N112" i="17"/>
  <c r="K117" i="17"/>
  <c r="M117" i="17" s="1"/>
  <c r="M118" i="17"/>
  <c r="K120" i="17"/>
  <c r="M120" i="17" s="1"/>
  <c r="M121" i="17"/>
  <c r="N123" i="17"/>
  <c r="P123" i="17" s="1"/>
  <c r="P124" i="17"/>
  <c r="N130" i="17"/>
  <c r="P131" i="17"/>
  <c r="N135" i="17"/>
  <c r="P136" i="17"/>
  <c r="K142" i="17"/>
  <c r="N143" i="17"/>
  <c r="P143" i="17" s="1"/>
  <c r="P144" i="17"/>
  <c r="K157" i="17"/>
  <c r="M157" i="17" s="1"/>
  <c r="M158" i="17"/>
  <c r="K164" i="17"/>
  <c r="M165" i="17"/>
  <c r="N166" i="17"/>
  <c r="P166" i="17" s="1"/>
  <c r="P167" i="17"/>
  <c r="K173" i="17"/>
  <c r="M174" i="17"/>
  <c r="N177" i="17"/>
  <c r="P178" i="17"/>
  <c r="K182" i="17"/>
  <c r="M182" i="17" s="1"/>
  <c r="M183" i="17"/>
  <c r="K185" i="17"/>
  <c r="M185" i="17" s="1"/>
  <c r="M186" i="17"/>
  <c r="K191" i="17"/>
  <c r="M191" i="17" s="1"/>
  <c r="M192" i="17"/>
  <c r="K195" i="17"/>
  <c r="M196" i="17"/>
  <c r="N199" i="17"/>
  <c r="P199" i="17" s="1"/>
  <c r="P200" i="17"/>
  <c r="K216" i="17"/>
  <c r="M217" i="17"/>
  <c r="K220" i="17"/>
  <c r="M220" i="17" s="1"/>
  <c r="M221" i="17"/>
  <c r="N232" i="17"/>
  <c r="P232" i="17" s="1"/>
  <c r="P233" i="17"/>
  <c r="N237" i="17"/>
  <c r="P237" i="17" s="1"/>
  <c r="P238" i="17"/>
  <c r="K248" i="17"/>
  <c r="M249" i="17"/>
  <c r="K254" i="17"/>
  <c r="M255" i="17"/>
  <c r="K277" i="17"/>
  <c r="K276" i="17" s="1"/>
  <c r="K323" i="17" s="1"/>
  <c r="M278" i="17"/>
  <c r="M277" i="17" s="1"/>
  <c r="M276" i="17" s="1"/>
  <c r="N282" i="17"/>
  <c r="N281" i="17" s="1"/>
  <c r="N280" i="17" s="1"/>
  <c r="P283" i="17"/>
  <c r="P282" i="17" s="1"/>
  <c r="P281" i="17" s="1"/>
  <c r="P280" i="17" s="1"/>
  <c r="P287" i="17"/>
  <c r="P286" i="17" s="1"/>
  <c r="N286" i="17"/>
  <c r="K320" i="17"/>
  <c r="K29" i="17"/>
  <c r="M30" i="17"/>
  <c r="P34" i="17"/>
  <c r="N36" i="17"/>
  <c r="P36" i="17" s="1"/>
  <c r="P37" i="17"/>
  <c r="K41" i="17"/>
  <c r="M41" i="17" s="1"/>
  <c r="J44" i="17"/>
  <c r="K44" i="17"/>
  <c r="J57" i="17"/>
  <c r="J56" i="17" s="1"/>
  <c r="J55" i="17" s="1"/>
  <c r="N64" i="17"/>
  <c r="P65" i="17"/>
  <c r="N71" i="17"/>
  <c r="P71" i="17" s="1"/>
  <c r="J82" i="17"/>
  <c r="J81" i="17" s="1"/>
  <c r="N87" i="17"/>
  <c r="P87" i="17" s="1"/>
  <c r="P88" i="17"/>
  <c r="K109" i="17"/>
  <c r="M110" i="17"/>
  <c r="K114" i="17"/>
  <c r="M114" i="17" s="1"/>
  <c r="M115" i="17"/>
  <c r="N117" i="17"/>
  <c r="P117" i="17" s="1"/>
  <c r="P118" i="17"/>
  <c r="N120" i="17"/>
  <c r="P120" i="17" s="1"/>
  <c r="P121" i="17"/>
  <c r="N126" i="17"/>
  <c r="P126" i="17" s="1"/>
  <c r="K135" i="17"/>
  <c r="N147" i="17"/>
  <c r="K154" i="17"/>
  <c r="M154" i="17" s="1"/>
  <c r="M155" i="17"/>
  <c r="N157" i="17"/>
  <c r="P157" i="17" s="1"/>
  <c r="P158" i="17"/>
  <c r="K169" i="17"/>
  <c r="M169" i="17" s="1"/>
  <c r="M170" i="17"/>
  <c r="N173" i="17"/>
  <c r="P174" i="17"/>
  <c r="N180" i="17"/>
  <c r="P181" i="17"/>
  <c r="N185" i="17"/>
  <c r="P185" i="17" s="1"/>
  <c r="P186" i="17"/>
  <c r="N191" i="17"/>
  <c r="P191" i="17" s="1"/>
  <c r="P192" i="17"/>
  <c r="N195" i="17"/>
  <c r="P196" i="17"/>
  <c r="N206" i="17"/>
  <c r="P204" i="17"/>
  <c r="N211" i="17"/>
  <c r="P211" i="17" s="1"/>
  <c r="P212" i="17"/>
  <c r="N216" i="17"/>
  <c r="P217" i="17"/>
  <c r="K237" i="17"/>
  <c r="M237" i="17" s="1"/>
  <c r="N246" i="17"/>
  <c r="P246" i="17" s="1"/>
  <c r="N254" i="17"/>
  <c r="P255" i="17"/>
  <c r="K273" i="17"/>
  <c r="N278" i="17"/>
  <c r="K283" i="17"/>
  <c r="M284" i="17"/>
  <c r="N297" i="17"/>
  <c r="P298" i="17"/>
  <c r="K17" i="17"/>
  <c r="M17" i="17" s="1"/>
  <c r="M18" i="17"/>
  <c r="K21" i="17"/>
  <c r="M21" i="17" s="1"/>
  <c r="M22" i="17"/>
  <c r="K25" i="17"/>
  <c r="M26" i="17"/>
  <c r="N29" i="17"/>
  <c r="P30" i="17"/>
  <c r="K36" i="17"/>
  <c r="M36" i="17" s="1"/>
  <c r="K57" i="17"/>
  <c r="M57" i="17" s="1"/>
  <c r="M58" i="17"/>
  <c r="K82" i="17"/>
  <c r="M82" i="17" s="1"/>
  <c r="M83" i="17"/>
  <c r="N93" i="17"/>
  <c r="P96" i="17"/>
  <c r="K101" i="17"/>
  <c r="N108" i="17"/>
  <c r="P108" i="17" s="1"/>
  <c r="N114" i="17"/>
  <c r="P114" i="17" s="1"/>
  <c r="P115" i="17"/>
  <c r="K139" i="17"/>
  <c r="M140" i="17"/>
  <c r="J147" i="17"/>
  <c r="J146" i="17" s="1"/>
  <c r="N154" i="17"/>
  <c r="P154" i="17" s="1"/>
  <c r="P155" i="17"/>
  <c r="N164" i="17"/>
  <c r="K166" i="17"/>
  <c r="M166" i="17" s="1"/>
  <c r="N169" i="17"/>
  <c r="P169" i="17" s="1"/>
  <c r="P170" i="17"/>
  <c r="N182" i="17"/>
  <c r="P182" i="17" s="1"/>
  <c r="N189" i="17"/>
  <c r="P190" i="17"/>
  <c r="K203" i="17"/>
  <c r="M203" i="17" s="1"/>
  <c r="J206" i="17"/>
  <c r="J205" i="17" s="1"/>
  <c r="J202" i="17" s="1"/>
  <c r="J198" i="17" s="1"/>
  <c r="K211" i="17"/>
  <c r="M211" i="17" s="1"/>
  <c r="N220" i="17"/>
  <c r="P220" i="17" s="1"/>
  <c r="N224" i="17"/>
  <c r="P225" i="17"/>
  <c r="N226" i="17"/>
  <c r="P226" i="17" s="1"/>
  <c r="P227" i="17"/>
  <c r="N228" i="17"/>
  <c r="P228" i="17" s="1"/>
  <c r="P229" i="17"/>
  <c r="N248" i="17"/>
  <c r="P248" i="17" s="1"/>
  <c r="N259" i="17"/>
  <c r="P260" i="17"/>
  <c r="N264" i="17"/>
  <c r="P265" i="17"/>
  <c r="P297" i="17"/>
  <c r="P296" i="17" s="1"/>
  <c r="P295" i="17" s="1"/>
  <c r="P294" i="17" s="1"/>
  <c r="N296" i="17"/>
  <c r="N295" i="17" s="1"/>
  <c r="N294" i="17" s="1"/>
  <c r="K180" i="5"/>
  <c r="O65" i="5"/>
  <c r="Q65" i="5" s="1"/>
  <c r="K68" i="5"/>
  <c r="O49" i="5"/>
  <c r="K49" i="5"/>
  <c r="L296" i="16"/>
  <c r="K44" i="5"/>
  <c r="L18" i="5"/>
  <c r="N18" i="5" s="1"/>
  <c r="K153" i="17"/>
  <c r="J64" i="17"/>
  <c r="J63" i="17" s="1"/>
  <c r="J62" i="17" s="1"/>
  <c r="J311" i="17" s="1"/>
  <c r="K70" i="17"/>
  <c r="J101" i="17"/>
  <c r="J100" i="17" s="1"/>
  <c r="J99" i="17" s="1"/>
  <c r="K232" i="17"/>
  <c r="J153" i="17"/>
  <c r="J152" i="17" s="1"/>
  <c r="J232" i="17"/>
  <c r="K81" i="17"/>
  <c r="K12" i="17"/>
  <c r="N57" i="17"/>
  <c r="P57" i="17" s="1"/>
  <c r="J70" i="17"/>
  <c r="J69" i="17" s="1"/>
  <c r="J353" i="17" s="1"/>
  <c r="J237" i="17"/>
  <c r="K286" i="17"/>
  <c r="K56" i="17"/>
  <c r="J32" i="17"/>
  <c r="J310" i="17"/>
  <c r="J351" i="17"/>
  <c r="J352" i="17"/>
  <c r="J8" i="17"/>
  <c r="J7" i="17" s="1"/>
  <c r="J107" i="17"/>
  <c r="J106" i="17" s="1"/>
  <c r="J358" i="17"/>
  <c r="J317" i="17"/>
  <c r="J162" i="17"/>
  <c r="J175" i="17"/>
  <c r="J354" i="17"/>
  <c r="J313" i="17"/>
  <c r="J133" i="17"/>
  <c r="J143" i="17"/>
  <c r="J219" i="17"/>
  <c r="J267" i="17"/>
  <c r="N17" i="17"/>
  <c r="J331" i="17"/>
  <c r="N203" i="17"/>
  <c r="J245" i="17"/>
  <c r="J244" i="17" s="1"/>
  <c r="J243" i="17" s="1"/>
  <c r="J287" i="17"/>
  <c r="J286" i="17" s="1"/>
  <c r="J281" i="17" s="1"/>
  <c r="J280" i="17" s="1"/>
  <c r="N245" i="17"/>
  <c r="L258" i="5"/>
  <c r="K116" i="5"/>
  <c r="K115" i="5" s="1"/>
  <c r="K128" i="5"/>
  <c r="K124" i="5" s="1"/>
  <c r="K123" i="5" s="1"/>
  <c r="L180" i="5"/>
  <c r="N180" i="5" s="1"/>
  <c r="K66" i="5"/>
  <c r="L66" i="5"/>
  <c r="N66" i="5" s="1"/>
  <c r="K299" i="16"/>
  <c r="K55" i="4"/>
  <c r="J55" i="4"/>
  <c r="K52" i="4"/>
  <c r="J52" i="4"/>
  <c r="K50" i="4"/>
  <c r="J352" i="15"/>
  <c r="J351" i="15" s="1"/>
  <c r="K349" i="15"/>
  <c r="J349" i="15"/>
  <c r="J348" i="15"/>
  <c r="J50" i="4" s="1"/>
  <c r="K347" i="15"/>
  <c r="L128" i="5" l="1"/>
  <c r="O68" i="5"/>
  <c r="Q68" i="5" s="1"/>
  <c r="L44" i="5"/>
  <c r="N44" i="5" s="1"/>
  <c r="O44" i="5"/>
  <c r="Q44" i="5" s="1"/>
  <c r="O128" i="5"/>
  <c r="Q128" i="5" s="1"/>
  <c r="O180" i="5"/>
  <c r="Q180" i="5" s="1"/>
  <c r="L68" i="5"/>
  <c r="N68" i="5" s="1"/>
  <c r="N14" i="5"/>
  <c r="L13" i="5"/>
  <c r="L191" i="5"/>
  <c r="N191" i="5" s="1"/>
  <c r="L169" i="5"/>
  <c r="N169" i="5" s="1"/>
  <c r="N258" i="5"/>
  <c r="N128" i="5"/>
  <c r="L247" i="5"/>
  <c r="N247" i="5" s="1"/>
  <c r="N248" i="5"/>
  <c r="L234" i="5"/>
  <c r="N234" i="5" s="1"/>
  <c r="N235" i="5"/>
  <c r="L222" i="5"/>
  <c r="N222" i="5" s="1"/>
  <c r="N223" i="5"/>
  <c r="L185" i="5"/>
  <c r="N185" i="5" s="1"/>
  <c r="N186" i="5"/>
  <c r="O154" i="5"/>
  <c r="Q154" i="5" s="1"/>
  <c r="Q155" i="5"/>
  <c r="O138" i="5"/>
  <c r="Q139" i="5"/>
  <c r="O125" i="5"/>
  <c r="Q125" i="5" s="1"/>
  <c r="Q126" i="5"/>
  <c r="O107" i="5"/>
  <c r="Q107" i="5" s="1"/>
  <c r="Q108" i="5"/>
  <c r="L89" i="5"/>
  <c r="N90" i="5"/>
  <c r="O73" i="5"/>
  <c r="Q73" i="5" s="1"/>
  <c r="Q74" i="5"/>
  <c r="O57" i="5"/>
  <c r="Q57" i="5" s="1"/>
  <c r="Q58" i="5"/>
  <c r="O35" i="5"/>
  <c r="Q35" i="5" s="1"/>
  <c r="Q36" i="5"/>
  <c r="L10" i="5"/>
  <c r="N11" i="5"/>
  <c r="O243" i="5"/>
  <c r="Q244" i="5"/>
  <c r="O228" i="5"/>
  <c r="Q228" i="5" s="1"/>
  <c r="Q229" i="5"/>
  <c r="L203" i="5"/>
  <c r="N203" i="5" s="1"/>
  <c r="N204" i="5"/>
  <c r="O157" i="5"/>
  <c r="Q157" i="5" s="1"/>
  <c r="Q158" i="5"/>
  <c r="O143" i="5"/>
  <c r="Q144" i="5"/>
  <c r="O112" i="5"/>
  <c r="Q113" i="5"/>
  <c r="L98" i="5"/>
  <c r="N98" i="5" s="1"/>
  <c r="N99" i="5"/>
  <c r="L79" i="5"/>
  <c r="N79" i="5" s="1"/>
  <c r="N80" i="5"/>
  <c r="L35" i="5"/>
  <c r="N35" i="5" s="1"/>
  <c r="N36" i="5"/>
  <c r="L22" i="5"/>
  <c r="N22" i="5" s="1"/>
  <c r="N23" i="5"/>
  <c r="L228" i="5"/>
  <c r="N228" i="5" s="1"/>
  <c r="N229" i="5"/>
  <c r="L206" i="5"/>
  <c r="N206" i="5" s="1"/>
  <c r="N207" i="5"/>
  <c r="L157" i="5"/>
  <c r="N157" i="5" s="1"/>
  <c r="N158" i="5"/>
  <c r="O117" i="5"/>
  <c r="Q118" i="5"/>
  <c r="O101" i="5"/>
  <c r="Q101" i="5" s="1"/>
  <c r="Q102" i="5"/>
  <c r="L84" i="5"/>
  <c r="N85" i="5"/>
  <c r="L38" i="5"/>
  <c r="N38" i="5" s="1"/>
  <c r="N39" i="5"/>
  <c r="O222" i="5"/>
  <c r="Q222" i="5" s="1"/>
  <c r="Q223" i="5"/>
  <c r="L209" i="5"/>
  <c r="N209" i="5" s="1"/>
  <c r="N210" i="5"/>
  <c r="L151" i="5"/>
  <c r="N151" i="5" s="1"/>
  <c r="N152" i="5"/>
  <c r="L117" i="5"/>
  <c r="N118" i="5"/>
  <c r="L101" i="5"/>
  <c r="N101" i="5" s="1"/>
  <c r="N102" i="5"/>
  <c r="L76" i="5"/>
  <c r="N76" i="5" s="1"/>
  <c r="N77" i="5"/>
  <c r="O239" i="5"/>
  <c r="Q240" i="5"/>
  <c r="O225" i="5"/>
  <c r="Q225" i="5" s="1"/>
  <c r="Q226" i="5"/>
  <c r="O203" i="5"/>
  <c r="Q203" i="5" s="1"/>
  <c r="Q204" i="5"/>
  <c r="O188" i="5"/>
  <c r="Q188" i="5" s="1"/>
  <c r="Q189" i="5"/>
  <c r="L177" i="5"/>
  <c r="N177" i="5" s="1"/>
  <c r="N178" i="5"/>
  <c r="L148" i="5"/>
  <c r="N148" i="5" s="1"/>
  <c r="N149" i="5"/>
  <c r="L133" i="5"/>
  <c r="N133" i="5" s="1"/>
  <c r="N134" i="5"/>
  <c r="L120" i="5"/>
  <c r="N120" i="5" s="1"/>
  <c r="N121" i="5"/>
  <c r="L104" i="5"/>
  <c r="N104" i="5" s="1"/>
  <c r="N105" i="5"/>
  <c r="O79" i="5"/>
  <c r="Q79" i="5" s="1"/>
  <c r="Q80" i="5"/>
  <c r="L239" i="5"/>
  <c r="N240" i="5"/>
  <c r="L225" i="5"/>
  <c r="N225" i="5" s="1"/>
  <c r="N226" i="5"/>
  <c r="O206" i="5"/>
  <c r="Q206" i="5" s="1"/>
  <c r="Q207" i="5"/>
  <c r="L188" i="5"/>
  <c r="N188" i="5" s="1"/>
  <c r="N189" i="5"/>
  <c r="O174" i="5"/>
  <c r="Q174" i="5" s="1"/>
  <c r="Q175" i="5"/>
  <c r="L154" i="5"/>
  <c r="N154" i="5" s="1"/>
  <c r="N155" i="5"/>
  <c r="L138" i="5"/>
  <c r="N139" i="5"/>
  <c r="L125" i="5"/>
  <c r="N125" i="5" s="1"/>
  <c r="N126" i="5"/>
  <c r="L107" i="5"/>
  <c r="N107" i="5" s="1"/>
  <c r="N108" i="5"/>
  <c r="O84" i="5"/>
  <c r="Q85" i="5"/>
  <c r="L73" i="5"/>
  <c r="N73" i="5" s="1"/>
  <c r="N74" i="5"/>
  <c r="L57" i="5"/>
  <c r="N57" i="5" s="1"/>
  <c r="N58" i="5"/>
  <c r="O38" i="5"/>
  <c r="Q38" i="5" s="1"/>
  <c r="Q39" i="5"/>
  <c r="O263" i="5"/>
  <c r="Q263" i="5" s="1"/>
  <c r="Q264" i="5"/>
  <c r="L243" i="5"/>
  <c r="N244" i="5"/>
  <c r="O209" i="5"/>
  <c r="Q209" i="5" s="1"/>
  <c r="Q210" i="5"/>
  <c r="L174" i="5"/>
  <c r="N174" i="5" s="1"/>
  <c r="N175" i="5"/>
  <c r="L143" i="5"/>
  <c r="N144" i="5"/>
  <c r="L112" i="5"/>
  <c r="N113" i="5"/>
  <c r="L95" i="5"/>
  <c r="N95" i="5" s="1"/>
  <c r="N96" i="5"/>
  <c r="O41" i="5"/>
  <c r="Q41" i="5" s="1"/>
  <c r="Q42" i="5"/>
  <c r="L263" i="5"/>
  <c r="N263" i="5" s="1"/>
  <c r="N264" i="5"/>
  <c r="O234" i="5"/>
  <c r="Q234" i="5" s="1"/>
  <c r="Q235" i="5"/>
  <c r="L200" i="5"/>
  <c r="N200" i="5" s="1"/>
  <c r="N201" i="5"/>
  <c r="O185" i="5"/>
  <c r="Q185" i="5" s="1"/>
  <c r="Q186" i="5"/>
  <c r="O133" i="5"/>
  <c r="Q133" i="5" s="1"/>
  <c r="Q134" i="5"/>
  <c r="O120" i="5"/>
  <c r="Q120" i="5" s="1"/>
  <c r="Q121" i="5"/>
  <c r="O104" i="5"/>
  <c r="Q104" i="5" s="1"/>
  <c r="Q105" i="5"/>
  <c r="L92" i="5"/>
  <c r="N92" i="5" s="1"/>
  <c r="N93" i="5"/>
  <c r="L41" i="5"/>
  <c r="N41" i="5" s="1"/>
  <c r="N42" i="5"/>
  <c r="O10" i="5"/>
  <c r="Q11" i="5"/>
  <c r="L295" i="16"/>
  <c r="L321" i="16"/>
  <c r="J312" i="17"/>
  <c r="P272" i="17"/>
  <c r="N272" i="17"/>
  <c r="P264" i="17"/>
  <c r="N163" i="17"/>
  <c r="P164" i="17"/>
  <c r="N92" i="17"/>
  <c r="P93" i="17"/>
  <c r="P278" i="17"/>
  <c r="P277" i="17" s="1"/>
  <c r="P276" i="17" s="1"/>
  <c r="N277" i="17"/>
  <c r="N276" i="17" s="1"/>
  <c r="N323" i="17" s="1"/>
  <c r="P254" i="17"/>
  <c r="P216" i="17"/>
  <c r="N205" i="17"/>
  <c r="P205" i="17" s="1"/>
  <c r="P206" i="17"/>
  <c r="P180" i="17"/>
  <c r="N179" i="17"/>
  <c r="P179" i="17" s="1"/>
  <c r="K108" i="17"/>
  <c r="M109" i="17"/>
  <c r="P64" i="17"/>
  <c r="K245" i="17"/>
  <c r="M248" i="17"/>
  <c r="K215" i="17"/>
  <c r="M216" i="17"/>
  <c r="K194" i="17"/>
  <c r="M194" i="17" s="1"/>
  <c r="M195" i="17"/>
  <c r="N176" i="17"/>
  <c r="P177" i="17"/>
  <c r="K92" i="17"/>
  <c r="M93" i="17"/>
  <c r="P78" i="17"/>
  <c r="K63" i="17"/>
  <c r="M64" i="17"/>
  <c r="K262" i="17"/>
  <c r="P82" i="17"/>
  <c r="P25" i="17"/>
  <c r="K152" i="17"/>
  <c r="P224" i="17"/>
  <c r="N223" i="17"/>
  <c r="K138" i="17"/>
  <c r="M139" i="17"/>
  <c r="K100" i="17"/>
  <c r="P29" i="17"/>
  <c r="P147" i="17"/>
  <c r="K28" i="17"/>
  <c r="M29" i="17"/>
  <c r="P135" i="17"/>
  <c r="K179" i="17"/>
  <c r="M179" i="17" s="1"/>
  <c r="M180" i="17"/>
  <c r="K146" i="17"/>
  <c r="M147" i="17"/>
  <c r="P139" i="17"/>
  <c r="P203" i="17"/>
  <c r="P245" i="17"/>
  <c r="N268" i="17"/>
  <c r="N267" i="17" s="1"/>
  <c r="N242" i="17" s="1"/>
  <c r="P268" i="17"/>
  <c r="P267" i="17" s="1"/>
  <c r="P242" i="17" s="1"/>
  <c r="P305" i="17" s="1"/>
  <c r="I14" i="26" s="1"/>
  <c r="I13" i="26" s="1"/>
  <c r="I12" i="26" s="1"/>
  <c r="I11" i="26" s="1"/>
  <c r="I6" i="26" s="1"/>
  <c r="I15" i="26" s="1"/>
  <c r="P259" i="17"/>
  <c r="K272" i="17"/>
  <c r="K267" i="17" s="1"/>
  <c r="M272" i="17"/>
  <c r="M267" i="17" s="1"/>
  <c r="M242" i="17" s="1"/>
  <c r="N194" i="17"/>
  <c r="P194" i="17" s="1"/>
  <c r="P195" i="17"/>
  <c r="N172" i="17"/>
  <c r="P172" i="17" s="1"/>
  <c r="P173" i="17"/>
  <c r="K253" i="17"/>
  <c r="M254" i="17"/>
  <c r="K172" i="17"/>
  <c r="M172" i="17" s="1"/>
  <c r="M173" i="17"/>
  <c r="K163" i="17"/>
  <c r="M164" i="17"/>
  <c r="N111" i="17"/>
  <c r="P112" i="17"/>
  <c r="K33" i="17"/>
  <c r="K257" i="17"/>
  <c r="K219" i="17"/>
  <c r="M223" i="17"/>
  <c r="K77" i="17"/>
  <c r="M78" i="17"/>
  <c r="K55" i="17"/>
  <c r="N12" i="17"/>
  <c r="P17" i="17"/>
  <c r="N331" i="17"/>
  <c r="K331" i="17"/>
  <c r="K8" i="17"/>
  <c r="M12" i="17"/>
  <c r="K231" i="17"/>
  <c r="M232" i="17"/>
  <c r="K69" i="17"/>
  <c r="N188" i="17"/>
  <c r="P188" i="17" s="1"/>
  <c r="P189" i="17"/>
  <c r="K24" i="17"/>
  <c r="M25" i="17"/>
  <c r="K282" i="17"/>
  <c r="K281" i="17" s="1"/>
  <c r="K280" i="17" s="1"/>
  <c r="M283" i="17"/>
  <c r="M282" i="17" s="1"/>
  <c r="M281" i="17" s="1"/>
  <c r="M280" i="17" s="1"/>
  <c r="K134" i="17"/>
  <c r="M135" i="17"/>
  <c r="N33" i="17"/>
  <c r="P130" i="17"/>
  <c r="K205" i="17"/>
  <c r="M206" i="17"/>
  <c r="K176" i="17"/>
  <c r="M177" i="17"/>
  <c r="K129" i="17"/>
  <c r="M130" i="17"/>
  <c r="L349" i="15"/>
  <c r="N349" i="15" s="1"/>
  <c r="L52" i="4"/>
  <c r="N52" i="4" s="1"/>
  <c r="J347" i="15"/>
  <c r="L347" i="15" s="1"/>
  <c r="N347" i="15" s="1"/>
  <c r="L348" i="15"/>
  <c r="N348" i="15" s="1"/>
  <c r="O298" i="16" s="1"/>
  <c r="O297" i="16" s="1"/>
  <c r="O296" i="16" s="1"/>
  <c r="K260" i="5"/>
  <c r="K259" i="5" s="1"/>
  <c r="K258" i="5" s="1"/>
  <c r="K257" i="5" s="1"/>
  <c r="K298" i="16"/>
  <c r="L50" i="4"/>
  <c r="N50" i="4" s="1"/>
  <c r="L55" i="4"/>
  <c r="N55" i="4" s="1"/>
  <c r="K346" i="15"/>
  <c r="J329" i="17"/>
  <c r="J242" i="17"/>
  <c r="J231" i="17"/>
  <c r="J214" i="17" s="1"/>
  <c r="K329" i="17"/>
  <c r="J330" i="17"/>
  <c r="J328" i="17" s="1"/>
  <c r="J360" i="17" s="1"/>
  <c r="J161" i="17"/>
  <c r="J356" i="17"/>
  <c r="J315" i="17"/>
  <c r="N312" i="17"/>
  <c r="N353" i="17"/>
  <c r="J350" i="17"/>
  <c r="J309" i="17"/>
  <c r="J6" i="17"/>
  <c r="K353" i="17"/>
  <c r="K351" i="17"/>
  <c r="K310" i="17"/>
  <c r="J319" i="17"/>
  <c r="J359" i="17"/>
  <c r="Q10" i="5" l="1"/>
  <c r="N10" i="5"/>
  <c r="L142" i="5"/>
  <c r="N143" i="5"/>
  <c r="L111" i="5"/>
  <c r="N112" i="5"/>
  <c r="L242" i="5"/>
  <c r="N242" i="5" s="1"/>
  <c r="N243" i="5"/>
  <c r="L238" i="5"/>
  <c r="N238" i="5" s="1"/>
  <c r="N239" i="5"/>
  <c r="O238" i="5"/>
  <c r="Q238" i="5" s="1"/>
  <c r="Q239" i="5"/>
  <c r="L83" i="5"/>
  <c r="N84" i="5"/>
  <c r="Q117" i="5"/>
  <c r="O116" i="5"/>
  <c r="O111" i="5"/>
  <c r="Q112" i="5"/>
  <c r="N89" i="5"/>
  <c r="L88" i="5"/>
  <c r="L257" i="5"/>
  <c r="N257" i="5" s="1"/>
  <c r="L137" i="5"/>
  <c r="N138" i="5"/>
  <c r="O83" i="5"/>
  <c r="Q84" i="5"/>
  <c r="N117" i="5"/>
  <c r="L116" i="5"/>
  <c r="O142" i="5"/>
  <c r="Q143" i="5"/>
  <c r="O242" i="5"/>
  <c r="Q242" i="5" s="1"/>
  <c r="Q243" i="5"/>
  <c r="O137" i="5"/>
  <c r="Q138" i="5"/>
  <c r="L124" i="5"/>
  <c r="O124" i="5"/>
  <c r="K297" i="16"/>
  <c r="K296" i="16" s="1"/>
  <c r="K321" i="16" s="1"/>
  <c r="O321" i="16"/>
  <c r="O295" i="16"/>
  <c r="N359" i="17"/>
  <c r="N319" i="17"/>
  <c r="K312" i="17"/>
  <c r="M205" i="17"/>
  <c r="K202" i="17"/>
  <c r="M33" i="17"/>
  <c r="K32" i="17"/>
  <c r="M163" i="17"/>
  <c r="K162" i="17"/>
  <c r="K359" i="17"/>
  <c r="K319" i="17"/>
  <c r="N202" i="17"/>
  <c r="P223" i="17"/>
  <c r="P163" i="17"/>
  <c r="K133" i="17"/>
  <c r="K7" i="17"/>
  <c r="P12" i="17"/>
  <c r="K99" i="17"/>
  <c r="K62" i="17"/>
  <c r="K91" i="17"/>
  <c r="M92" i="17"/>
  <c r="K244" i="17"/>
  <c r="M245" i="17"/>
  <c r="M108" i="17"/>
  <c r="K107" i="17"/>
  <c r="M176" i="17"/>
  <c r="K175" i="17"/>
  <c r="M175" i="17" s="1"/>
  <c r="P111" i="17"/>
  <c r="P92" i="17"/>
  <c r="N358" i="17"/>
  <c r="N317" i="17"/>
  <c r="P33" i="17"/>
  <c r="N329" i="17"/>
  <c r="K214" i="17"/>
  <c r="K358" i="17"/>
  <c r="K317" i="17"/>
  <c r="P176" i="17"/>
  <c r="N175" i="17"/>
  <c r="P175" i="17" s="1"/>
  <c r="J346" i="15"/>
  <c r="J345" i="15" s="1"/>
  <c r="J344" i="15" s="1"/>
  <c r="J343" i="15" s="1"/>
  <c r="K345" i="15"/>
  <c r="K344" i="15" s="1"/>
  <c r="K343" i="15" s="1"/>
  <c r="M298" i="16"/>
  <c r="J357" i="17"/>
  <c r="J316" i="17"/>
  <c r="J160" i="17"/>
  <c r="J305" i="17" s="1"/>
  <c r="J314" i="17"/>
  <c r="J321" i="17" s="1"/>
  <c r="J355" i="17"/>
  <c r="J136" i="15"/>
  <c r="L136" i="5" l="1"/>
  <c r="N136" i="5" s="1"/>
  <c r="N137" i="5"/>
  <c r="O110" i="5"/>
  <c r="Q110" i="5" s="1"/>
  <c r="Q111" i="5"/>
  <c r="L82" i="5"/>
  <c r="N82" i="5" s="1"/>
  <c r="N83" i="5"/>
  <c r="L110" i="5"/>
  <c r="N110" i="5" s="1"/>
  <c r="N111" i="5"/>
  <c r="O259" i="5"/>
  <c r="Q260" i="5"/>
  <c r="O136" i="5"/>
  <c r="Q136" i="5" s="1"/>
  <c r="Q137" i="5"/>
  <c r="O141" i="5"/>
  <c r="Q141" i="5" s="1"/>
  <c r="Q142" i="5"/>
  <c r="O82" i="5"/>
  <c r="Q82" i="5" s="1"/>
  <c r="Q83" i="5"/>
  <c r="L87" i="5"/>
  <c r="N87" i="5" s="1"/>
  <c r="N88" i="5"/>
  <c r="O115" i="5"/>
  <c r="Q115" i="5" s="1"/>
  <c r="Q116" i="5"/>
  <c r="L123" i="5"/>
  <c r="N123" i="5" s="1"/>
  <c r="N124" i="5"/>
  <c r="O123" i="5"/>
  <c r="Q123" i="5" s="1"/>
  <c r="Q124" i="5"/>
  <c r="L115" i="5"/>
  <c r="N115" i="5" s="1"/>
  <c r="N116" i="5"/>
  <c r="L141" i="5"/>
  <c r="N141" i="5" s="1"/>
  <c r="N142" i="5"/>
  <c r="M297" i="16"/>
  <c r="M296" i="16" s="1"/>
  <c r="M295" i="16" s="1"/>
  <c r="N316" i="17"/>
  <c r="N357" i="17"/>
  <c r="N350" i="17"/>
  <c r="N309" i="17"/>
  <c r="K243" i="17"/>
  <c r="K311" i="17"/>
  <c r="K352" i="17"/>
  <c r="N198" i="17"/>
  <c r="P198" i="17" s="1"/>
  <c r="P202" i="17"/>
  <c r="N330" i="17"/>
  <c r="N328" i="17" s="1"/>
  <c r="N360" i="17" s="1"/>
  <c r="K330" i="17"/>
  <c r="K328" i="17" s="1"/>
  <c r="K360" i="17" s="1"/>
  <c r="M202" i="17"/>
  <c r="K198" i="17"/>
  <c r="N352" i="17"/>
  <c r="N311" i="17"/>
  <c r="K106" i="17"/>
  <c r="K309" i="17"/>
  <c r="K90" i="17"/>
  <c r="K6" i="17" s="1"/>
  <c r="N351" i="17"/>
  <c r="K357" i="17"/>
  <c r="K316" i="17"/>
  <c r="N310" i="17"/>
  <c r="L346" i="15"/>
  <c r="L136" i="15"/>
  <c r="K97" i="5"/>
  <c r="K96" i="5" s="1"/>
  <c r="K95" i="5" s="1"/>
  <c r="J332" i="17"/>
  <c r="J322" i="17"/>
  <c r="J362" i="17"/>
  <c r="J18" i="15"/>
  <c r="O258" i="5" l="1"/>
  <c r="Q259" i="5"/>
  <c r="M321" i="16"/>
  <c r="L345" i="15"/>
  <c r="L344" i="15" s="1"/>
  <c r="L343" i="15" s="1"/>
  <c r="N346" i="15"/>
  <c r="N345" i="15" s="1"/>
  <c r="N344" i="15" s="1"/>
  <c r="N343" i="15" s="1"/>
  <c r="N136" i="15"/>
  <c r="O115" i="16" s="1"/>
  <c r="O114" i="16" s="1"/>
  <c r="O113" i="16" s="1"/>
  <c r="O328" i="16" s="1"/>
  <c r="N354" i="17"/>
  <c r="N313" i="17"/>
  <c r="K242" i="17"/>
  <c r="K350" i="17"/>
  <c r="K315" i="17"/>
  <c r="K356" i="17"/>
  <c r="N356" i="17"/>
  <c r="N315" i="17"/>
  <c r="K161" i="17"/>
  <c r="M198" i="17"/>
  <c r="K313" i="17"/>
  <c r="K354" i="17"/>
  <c r="L18" i="15"/>
  <c r="K17" i="5"/>
  <c r="J342" i="15"/>
  <c r="J340" i="15"/>
  <c r="O96" i="5" l="1"/>
  <c r="Q97" i="5"/>
  <c r="O257" i="5"/>
  <c r="Q257" i="5" s="1"/>
  <c r="Q258" i="5"/>
  <c r="Q17" i="5"/>
  <c r="N18" i="15"/>
  <c r="O17" i="16" s="1"/>
  <c r="K321" i="17"/>
  <c r="N314" i="17"/>
  <c r="N321" i="17" s="1"/>
  <c r="N355" i="17"/>
  <c r="K160" i="17"/>
  <c r="K355" i="17"/>
  <c r="K314" i="17"/>
  <c r="L342" i="15"/>
  <c r="K256" i="5"/>
  <c r="L340" i="15"/>
  <c r="K254" i="5"/>
  <c r="J16" i="15"/>
  <c r="O95" i="5" l="1"/>
  <c r="Q95" i="5" s="1"/>
  <c r="Q96" i="5"/>
  <c r="Q254" i="5"/>
  <c r="N340" i="15"/>
  <c r="O292" i="16" s="1"/>
  <c r="Q256" i="5"/>
  <c r="N342" i="15"/>
  <c r="O294" i="16" s="1"/>
  <c r="N305" i="17"/>
  <c r="G14" i="26" s="1"/>
  <c r="M305" i="17"/>
  <c r="F14" i="26" s="1"/>
  <c r="F13" i="26" s="1"/>
  <c r="F12" i="26" s="1"/>
  <c r="F11" i="26" s="1"/>
  <c r="F6" i="26" s="1"/>
  <c r="F15" i="26" s="1"/>
  <c r="K305" i="17"/>
  <c r="L16" i="15"/>
  <c r="K15" i="5"/>
  <c r="K14" i="5" s="1"/>
  <c r="J21" i="15"/>
  <c r="J259" i="15"/>
  <c r="J257" i="15"/>
  <c r="J224" i="15"/>
  <c r="N16" i="15" l="1"/>
  <c r="K332" i="17"/>
  <c r="K362" i="17"/>
  <c r="K322" i="17"/>
  <c r="N332" i="17"/>
  <c r="N322" i="17"/>
  <c r="N362" i="17"/>
  <c r="L259" i="15"/>
  <c r="K173" i="5"/>
  <c r="K172" i="5" s="1"/>
  <c r="L21" i="15"/>
  <c r="K20" i="5"/>
  <c r="K18" i="5" s="1"/>
  <c r="L224" i="15"/>
  <c r="K150" i="5"/>
  <c r="K149" i="5" s="1"/>
  <c r="K148" i="5" s="1"/>
  <c r="L257" i="15"/>
  <c r="K171" i="5"/>
  <c r="K170" i="5" s="1"/>
  <c r="J19" i="15"/>
  <c r="O14" i="5" l="1"/>
  <c r="Q14" i="5" s="1"/>
  <c r="Q15" i="5"/>
  <c r="N257" i="15"/>
  <c r="O192" i="16" s="1"/>
  <c r="O191" i="16" s="1"/>
  <c r="N224" i="15"/>
  <c r="O171" i="16" s="1"/>
  <c r="O170" i="16" s="1"/>
  <c r="O169" i="16" s="1"/>
  <c r="N259" i="15"/>
  <c r="O194" i="16" s="1"/>
  <c r="O193" i="16" s="1"/>
  <c r="N21" i="15"/>
  <c r="O20" i="16" s="1"/>
  <c r="O18" i="16" s="1"/>
  <c r="O15" i="16"/>
  <c r="O14" i="16" s="1"/>
  <c r="K169" i="5"/>
  <c r="J334" i="15"/>
  <c r="J338" i="15"/>
  <c r="K51" i="4"/>
  <c r="J51" i="4"/>
  <c r="O170" i="5" l="1"/>
  <c r="Q170" i="5" s="1"/>
  <c r="Q171" i="5"/>
  <c r="O172" i="5"/>
  <c r="Q172" i="5" s="1"/>
  <c r="Q173" i="5"/>
  <c r="O18" i="5"/>
  <c r="Q18" i="5" s="1"/>
  <c r="Q20" i="5"/>
  <c r="O149" i="5"/>
  <c r="Q150" i="5"/>
  <c r="O190" i="16"/>
  <c r="L334" i="15"/>
  <c r="K249" i="5"/>
  <c r="K248" i="5" s="1"/>
  <c r="K247" i="5" s="1"/>
  <c r="L338" i="15"/>
  <c r="K252" i="5"/>
  <c r="K251" i="5" s="1"/>
  <c r="L51" i="4"/>
  <c r="N51" i="4" s="1"/>
  <c r="J133" i="15"/>
  <c r="O148" i="5" l="1"/>
  <c r="Q148" i="5" s="1"/>
  <c r="Q149" i="5"/>
  <c r="O169" i="5"/>
  <c r="Q169" i="5" s="1"/>
  <c r="N334" i="15"/>
  <c r="O287" i="16" s="1"/>
  <c r="O286" i="16" s="1"/>
  <c r="O285" i="16" s="1"/>
  <c r="N338" i="15"/>
  <c r="O290" i="16" s="1"/>
  <c r="O289" i="16" s="1"/>
  <c r="L133" i="15"/>
  <c r="K94" i="5"/>
  <c r="K93" i="5" s="1"/>
  <c r="K92" i="5" s="1"/>
  <c r="J39" i="15"/>
  <c r="O248" i="5" l="1"/>
  <c r="Q249" i="5"/>
  <c r="O251" i="5"/>
  <c r="Q251" i="5" s="1"/>
  <c r="Q252" i="5"/>
  <c r="O320" i="16"/>
  <c r="N133" i="15"/>
  <c r="O112" i="16" s="1"/>
  <c r="O111" i="16" s="1"/>
  <c r="O110" i="16" s="1"/>
  <c r="O327" i="16" s="1"/>
  <c r="L39" i="15"/>
  <c r="K34" i="5"/>
  <c r="O93" i="5" l="1"/>
  <c r="Q94" i="5"/>
  <c r="O247" i="5"/>
  <c r="Q247" i="5" s="1"/>
  <c r="Q248" i="5"/>
  <c r="Q34" i="5"/>
  <c r="N39" i="15"/>
  <c r="O40" i="16" s="1"/>
  <c r="J10" i="4"/>
  <c r="J9" i="4" s="1"/>
  <c r="K10" i="4"/>
  <c r="J14" i="4"/>
  <c r="K14" i="4"/>
  <c r="J16" i="4"/>
  <c r="J15" i="4" s="1"/>
  <c r="K16" i="4"/>
  <c r="J18" i="4"/>
  <c r="K18" i="4"/>
  <c r="J22" i="4"/>
  <c r="K22" i="4"/>
  <c r="J25" i="4"/>
  <c r="J24" i="4" s="1"/>
  <c r="K25" i="4"/>
  <c r="J27" i="4"/>
  <c r="K27" i="4"/>
  <c r="J29" i="4"/>
  <c r="K29" i="4"/>
  <c r="J30" i="4"/>
  <c r="K30" i="4"/>
  <c r="J31" i="4"/>
  <c r="K31" i="4"/>
  <c r="K34" i="4"/>
  <c r="K33" i="4" s="1"/>
  <c r="K32" i="4" s="1"/>
  <c r="J38" i="4"/>
  <c r="K38" i="4"/>
  <c r="K37" i="4" s="1"/>
  <c r="K36" i="4" s="1"/>
  <c r="K35" i="4" s="1"/>
  <c r="K46" i="4"/>
  <c r="J47" i="4"/>
  <c r="L47" i="4" s="1"/>
  <c r="N47" i="4" s="1"/>
  <c r="J49" i="4"/>
  <c r="J48" i="4" s="1"/>
  <c r="K49" i="4"/>
  <c r="J54" i="4"/>
  <c r="K54" i="4"/>
  <c r="K53" i="4" s="1"/>
  <c r="J59" i="4"/>
  <c r="J58" i="4" s="1"/>
  <c r="J57" i="4" s="1"/>
  <c r="K59" i="4"/>
  <c r="J63" i="4"/>
  <c r="J62" i="4" s="1"/>
  <c r="K63" i="4"/>
  <c r="J67" i="4"/>
  <c r="K67" i="4"/>
  <c r="J70" i="4"/>
  <c r="J69" i="4" s="1"/>
  <c r="J68" i="4" s="1"/>
  <c r="K70" i="4"/>
  <c r="J73" i="4"/>
  <c r="J72" i="4" s="1"/>
  <c r="K73" i="4"/>
  <c r="J76" i="4"/>
  <c r="J75" i="4" s="1"/>
  <c r="K76" i="4"/>
  <c r="J78" i="4"/>
  <c r="J77" i="4" s="1"/>
  <c r="K78" i="4"/>
  <c r="J81" i="4"/>
  <c r="J80" i="4" s="1"/>
  <c r="K81" i="4"/>
  <c r="J84" i="4"/>
  <c r="K84" i="4"/>
  <c r="J89" i="4"/>
  <c r="K89" i="4"/>
  <c r="J91" i="4"/>
  <c r="J90" i="4" s="1"/>
  <c r="K91" i="4"/>
  <c r="J93" i="4"/>
  <c r="K93" i="4"/>
  <c r="J98" i="4"/>
  <c r="J97" i="4" s="1"/>
  <c r="K98" i="4"/>
  <c r="J100" i="4"/>
  <c r="K100" i="4"/>
  <c r="J108" i="4"/>
  <c r="K108" i="4"/>
  <c r="J111" i="4"/>
  <c r="K111" i="4"/>
  <c r="J118" i="4"/>
  <c r="J117" i="4" s="1"/>
  <c r="K118" i="4"/>
  <c r="J122" i="4"/>
  <c r="J121" i="4" s="1"/>
  <c r="K122" i="4"/>
  <c r="J124" i="4"/>
  <c r="K124" i="4"/>
  <c r="J127" i="4"/>
  <c r="J126" i="4" s="1"/>
  <c r="J125" i="4" s="1"/>
  <c r="K127" i="4"/>
  <c r="J142" i="4"/>
  <c r="J141" i="4" s="1"/>
  <c r="K142" i="4"/>
  <c r="J162" i="4"/>
  <c r="K162" i="4"/>
  <c r="J165" i="4"/>
  <c r="J169" i="4"/>
  <c r="J168" i="4" s="1"/>
  <c r="J167" i="4" s="1"/>
  <c r="J172" i="4"/>
  <c r="J171" i="4" s="1"/>
  <c r="J178" i="4"/>
  <c r="K178" i="4"/>
  <c r="J184" i="4"/>
  <c r="J183" i="4" s="1"/>
  <c r="K184" i="4"/>
  <c r="J187" i="4"/>
  <c r="J186" i="4" s="1"/>
  <c r="K187" i="4"/>
  <c r="K186" i="4" s="1"/>
  <c r="K189" i="4"/>
  <c r="J194" i="4"/>
  <c r="K194" i="4"/>
  <c r="J198" i="4"/>
  <c r="J197" i="4" s="1"/>
  <c r="J196" i="4" s="1"/>
  <c r="K198" i="4"/>
  <c r="J202" i="4"/>
  <c r="J201" i="4" s="1"/>
  <c r="K202" i="4"/>
  <c r="J209" i="4"/>
  <c r="K209" i="4"/>
  <c r="J211" i="4"/>
  <c r="K211" i="4"/>
  <c r="J214" i="4"/>
  <c r="K214" i="4"/>
  <c r="K225" i="4"/>
  <c r="K228" i="4"/>
  <c r="J231" i="4"/>
  <c r="J230" i="4" s="1"/>
  <c r="J229" i="4" s="1"/>
  <c r="K231" i="4"/>
  <c r="J234" i="4"/>
  <c r="K234" i="4"/>
  <c r="J237" i="4"/>
  <c r="J236" i="4" s="1"/>
  <c r="J235" i="4" s="1"/>
  <c r="K237" i="4"/>
  <c r="J241" i="4"/>
  <c r="K241" i="4"/>
  <c r="J244" i="4"/>
  <c r="K244" i="4"/>
  <c r="J249" i="4"/>
  <c r="J248" i="4" s="1"/>
  <c r="K249" i="4"/>
  <c r="J253" i="4"/>
  <c r="J252" i="4" s="1"/>
  <c r="J251" i="4" s="1"/>
  <c r="K253" i="4"/>
  <c r="J256" i="4"/>
  <c r="K256" i="4"/>
  <c r="J260" i="4"/>
  <c r="J259" i="4" s="1"/>
  <c r="J258" i="4" s="1"/>
  <c r="K260" i="4"/>
  <c r="J268" i="4"/>
  <c r="K268" i="4"/>
  <c r="J271" i="4"/>
  <c r="K271" i="4"/>
  <c r="J275" i="4"/>
  <c r="K275" i="4"/>
  <c r="J277" i="4"/>
  <c r="K277" i="4"/>
  <c r="J280" i="4"/>
  <c r="L280" i="4" s="1"/>
  <c r="N280" i="4" s="1"/>
  <c r="K279" i="4"/>
  <c r="J282" i="4"/>
  <c r="L282" i="4" s="1"/>
  <c r="N282" i="4" s="1"/>
  <c r="J287" i="4"/>
  <c r="L287" i="4" s="1"/>
  <c r="N287" i="4" s="1"/>
  <c r="K286" i="4"/>
  <c r="J292" i="4"/>
  <c r="L292" i="4" s="1"/>
  <c r="N292" i="4" s="1"/>
  <c r="K291" i="4"/>
  <c r="J295" i="4"/>
  <c r="K295" i="4"/>
  <c r="K294" i="4" s="1"/>
  <c r="K293" i="4" s="1"/>
  <c r="J302" i="4"/>
  <c r="J300" i="4" s="1"/>
  <c r="J299" i="4" s="1"/>
  <c r="J308" i="4"/>
  <c r="J306" i="4" s="1"/>
  <c r="J305" i="4" s="1"/>
  <c r="J316" i="4"/>
  <c r="L316" i="4" s="1"/>
  <c r="N316" i="4" s="1"/>
  <c r="O92" i="5" l="1"/>
  <c r="Q92" i="5" s="1"/>
  <c r="Q93" i="5"/>
  <c r="L308" i="4"/>
  <c r="J116" i="4"/>
  <c r="J115" i="4" s="1"/>
  <c r="L54" i="4"/>
  <c r="N54" i="4" s="1"/>
  <c r="L31" i="4"/>
  <c r="N31" i="4" s="1"/>
  <c r="L277" i="4"/>
  <c r="N277" i="4" s="1"/>
  <c r="L211" i="4"/>
  <c r="N211" i="4" s="1"/>
  <c r="L194" i="4"/>
  <c r="N194" i="4" s="1"/>
  <c r="L30" i="4"/>
  <c r="N30" i="4" s="1"/>
  <c r="L29" i="4"/>
  <c r="N29" i="4" s="1"/>
  <c r="L295" i="4"/>
  <c r="N295" i="4" s="1"/>
  <c r="L187" i="4"/>
  <c r="L124" i="4"/>
  <c r="N124" i="4" s="1"/>
  <c r="J37" i="4"/>
  <c r="L37" i="4" s="1"/>
  <c r="N37" i="4" s="1"/>
  <c r="L38" i="4"/>
  <c r="N38" i="4" s="1"/>
  <c r="L27" i="4"/>
  <c r="N27" i="4" s="1"/>
  <c r="L302" i="4"/>
  <c r="L209" i="4"/>
  <c r="N209" i="4" s="1"/>
  <c r="L100" i="4"/>
  <c r="N100" i="4" s="1"/>
  <c r="K21" i="4"/>
  <c r="L22" i="4"/>
  <c r="N22" i="4" s="1"/>
  <c r="K24" i="4"/>
  <c r="L24" i="4" s="1"/>
  <c r="N24" i="4" s="1"/>
  <c r="L25" i="4"/>
  <c r="N25" i="4" s="1"/>
  <c r="K58" i="4"/>
  <c r="L59" i="4"/>
  <c r="N59" i="4" s="1"/>
  <c r="K62" i="4"/>
  <c r="L62" i="4" s="1"/>
  <c r="N62" i="4" s="1"/>
  <c r="L63" i="4"/>
  <c r="N63" i="4" s="1"/>
  <c r="K69" i="4"/>
  <c r="L70" i="4"/>
  <c r="N70" i="4" s="1"/>
  <c r="K72" i="4"/>
  <c r="L73" i="4"/>
  <c r="N73" i="4" s="1"/>
  <c r="K75" i="4"/>
  <c r="L75" i="4" s="1"/>
  <c r="N75" i="4" s="1"/>
  <c r="L76" i="4"/>
  <c r="N76" i="4" s="1"/>
  <c r="K77" i="4"/>
  <c r="L77" i="4" s="1"/>
  <c r="N77" i="4" s="1"/>
  <c r="L78" i="4"/>
  <c r="N78" i="4" s="1"/>
  <c r="K80" i="4"/>
  <c r="L81" i="4"/>
  <c r="N81" i="4" s="1"/>
  <c r="K83" i="4"/>
  <c r="L84" i="4"/>
  <c r="N84" i="4" s="1"/>
  <c r="K88" i="4"/>
  <c r="L89" i="4"/>
  <c r="N89" i="4" s="1"/>
  <c r="K90" i="4"/>
  <c r="L90" i="4" s="1"/>
  <c r="N90" i="4" s="1"/>
  <c r="L91" i="4"/>
  <c r="N91" i="4" s="1"/>
  <c r="K97" i="4"/>
  <c r="L97" i="4" s="1"/>
  <c r="N97" i="4" s="1"/>
  <c r="L98" i="4"/>
  <c r="N98" i="4" s="1"/>
  <c r="K107" i="4"/>
  <c r="L108" i="4"/>
  <c r="N108" i="4" s="1"/>
  <c r="K110" i="4"/>
  <c r="L111" i="4"/>
  <c r="N111" i="4" s="1"/>
  <c r="K117" i="4"/>
  <c r="L118" i="4"/>
  <c r="N118" i="4" s="1"/>
  <c r="K121" i="4"/>
  <c r="L121" i="4" s="1"/>
  <c r="N121" i="4" s="1"/>
  <c r="L122" i="4"/>
  <c r="N122" i="4" s="1"/>
  <c r="K126" i="4"/>
  <c r="L127" i="4"/>
  <c r="N127" i="4" s="1"/>
  <c r="K141" i="4"/>
  <c r="L141" i="4" s="1"/>
  <c r="N141" i="4" s="1"/>
  <c r="L142" i="4"/>
  <c r="N142" i="4" s="1"/>
  <c r="K230" i="4"/>
  <c r="L231" i="4"/>
  <c r="N231" i="4" s="1"/>
  <c r="K233" i="4"/>
  <c r="L234" i="4"/>
  <c r="N234" i="4" s="1"/>
  <c r="K236" i="4"/>
  <c r="K235" i="4" s="1"/>
  <c r="L237" i="4"/>
  <c r="N237" i="4" s="1"/>
  <c r="K240" i="4"/>
  <c r="L241" i="4"/>
  <c r="N241" i="4" s="1"/>
  <c r="K248" i="4"/>
  <c r="L249" i="4"/>
  <c r="N249" i="4" s="1"/>
  <c r="K255" i="4"/>
  <c r="L256" i="4"/>
  <c r="N256" i="4" s="1"/>
  <c r="K267" i="4"/>
  <c r="L268" i="4"/>
  <c r="N268" i="4" s="1"/>
  <c r="K161" i="4"/>
  <c r="L162" i="4"/>
  <c r="N162" i="4" s="1"/>
  <c r="K177" i="4"/>
  <c r="L178" i="4"/>
  <c r="N178" i="4" s="1"/>
  <c r="K183" i="4"/>
  <c r="L184" i="4"/>
  <c r="N184" i="4" s="1"/>
  <c r="K197" i="4"/>
  <c r="L198" i="4"/>
  <c r="N198" i="4" s="1"/>
  <c r="K201" i="4"/>
  <c r="L202" i="4"/>
  <c r="N202" i="4" s="1"/>
  <c r="K213" i="4"/>
  <c r="L214" i="4"/>
  <c r="N214" i="4" s="1"/>
  <c r="K252" i="4"/>
  <c r="L253" i="4"/>
  <c r="N253" i="4" s="1"/>
  <c r="K259" i="4"/>
  <c r="L260" i="4"/>
  <c r="N260" i="4" s="1"/>
  <c r="K270" i="4"/>
  <c r="L271" i="4"/>
  <c r="N271" i="4" s="1"/>
  <c r="K274" i="4"/>
  <c r="L275" i="4"/>
  <c r="N275" i="4" s="1"/>
  <c r="K66" i="4"/>
  <c r="L67" i="4"/>
  <c r="N67" i="4" s="1"/>
  <c r="K92" i="4"/>
  <c r="K87" i="4" s="1"/>
  <c r="L93" i="4"/>
  <c r="N93" i="4" s="1"/>
  <c r="K243" i="4"/>
  <c r="L244" i="4"/>
  <c r="N244" i="4" s="1"/>
  <c r="K9" i="4"/>
  <c r="K8" i="4" s="1"/>
  <c r="K7" i="4" s="1"/>
  <c r="L10" i="4"/>
  <c r="K13" i="4"/>
  <c r="L14" i="4"/>
  <c r="N14" i="4" s="1"/>
  <c r="K15" i="4"/>
  <c r="L15" i="4" s="1"/>
  <c r="N15" i="4" s="1"/>
  <c r="L16" i="4"/>
  <c r="N16" i="4" s="1"/>
  <c r="K17" i="4"/>
  <c r="L18" i="4"/>
  <c r="N18" i="4" s="1"/>
  <c r="K48" i="4"/>
  <c r="L48" i="4" s="1"/>
  <c r="N48" i="4" s="1"/>
  <c r="L49" i="4"/>
  <c r="N49" i="4" s="1"/>
  <c r="K290" i="4"/>
  <c r="K289" i="4" s="1"/>
  <c r="K298" i="4"/>
  <c r="K304" i="4"/>
  <c r="K28" i="4"/>
  <c r="J182" i="4"/>
  <c r="J267" i="4"/>
  <c r="J266" i="4" s="1"/>
  <c r="J243" i="4"/>
  <c r="K140" i="4"/>
  <c r="K136" i="4" s="1"/>
  <c r="J92" i="4"/>
  <c r="J87" i="4" s="1"/>
  <c r="J274" i="4"/>
  <c r="J140" i="4"/>
  <c r="J136" i="4" s="1"/>
  <c r="J107" i="4"/>
  <c r="J106" i="4" s="1"/>
  <c r="J88" i="4"/>
  <c r="J298" i="4"/>
  <c r="J297" i="4" s="1"/>
  <c r="J177" i="4"/>
  <c r="J176" i="4" s="1"/>
  <c r="J195" i="4"/>
  <c r="J247" i="4"/>
  <c r="J240" i="4"/>
  <c r="J200" i="4"/>
  <c r="J315" i="4"/>
  <c r="J291" i="4"/>
  <c r="L291" i="4" s="1"/>
  <c r="N291" i="4" s="1"/>
  <c r="J279" i="4"/>
  <c r="L279" i="4" s="1"/>
  <c r="N279" i="4" s="1"/>
  <c r="J270" i="4"/>
  <c r="J294" i="4"/>
  <c r="L294" i="4" s="1"/>
  <c r="N294" i="4" s="1"/>
  <c r="J255" i="4"/>
  <c r="J213" i="4"/>
  <c r="J170" i="4"/>
  <c r="J286" i="4"/>
  <c r="L286" i="4" s="1"/>
  <c r="N286" i="4" s="1"/>
  <c r="J233" i="4"/>
  <c r="J161" i="4"/>
  <c r="J56" i="4"/>
  <c r="J110" i="4"/>
  <c r="J83" i="4"/>
  <c r="J79" i="4"/>
  <c r="J21" i="4"/>
  <c r="J13" i="4"/>
  <c r="J28" i="4"/>
  <c r="J17" i="4"/>
  <c r="J8" i="4"/>
  <c r="J66" i="4"/>
  <c r="J332" i="4" s="1"/>
  <c r="J53" i="4"/>
  <c r="L53" i="4" s="1"/>
  <c r="N53" i="4" s="1"/>
  <c r="J74" i="4"/>
  <c r="J71" i="4"/>
  <c r="K332" i="4" l="1"/>
  <c r="L300" i="4"/>
  <c r="L299" i="4" s="1"/>
  <c r="N302" i="4"/>
  <c r="N300" i="4" s="1"/>
  <c r="N299" i="4" s="1"/>
  <c r="L186" i="4"/>
  <c r="N187" i="4"/>
  <c r="N186" i="4" s="1"/>
  <c r="L9" i="4"/>
  <c r="L8" i="4" s="1"/>
  <c r="L7" i="4" s="1"/>
  <c r="N10" i="4"/>
  <c r="N9" i="4" s="1"/>
  <c r="N8" i="4" s="1"/>
  <c r="N7" i="4" s="1"/>
  <c r="L306" i="4"/>
  <c r="L305" i="4" s="1"/>
  <c r="N308" i="4"/>
  <c r="N306" i="4" s="1"/>
  <c r="N305" i="4" s="1"/>
  <c r="K116" i="4"/>
  <c r="K115" i="4" s="1"/>
  <c r="J36" i="4"/>
  <c r="L36" i="4" s="1"/>
  <c r="N36" i="4" s="1"/>
  <c r="K74" i="4"/>
  <c r="L74" i="4" s="1"/>
  <c r="N74" i="4" s="1"/>
  <c r="K12" i="4"/>
  <c r="K11" i="4" s="1"/>
  <c r="L28" i="4"/>
  <c r="N28" i="4" s="1"/>
  <c r="L17" i="4"/>
  <c r="N17" i="4" s="1"/>
  <c r="L13" i="4"/>
  <c r="N13" i="4" s="1"/>
  <c r="L66" i="4"/>
  <c r="N66" i="4" s="1"/>
  <c r="L88" i="4"/>
  <c r="N88" i="4" s="1"/>
  <c r="L92" i="4"/>
  <c r="N92" i="4" s="1"/>
  <c r="L274" i="4"/>
  <c r="N274" i="4" s="1"/>
  <c r="K20" i="4"/>
  <c r="L21" i="4"/>
  <c r="N21" i="4" s="1"/>
  <c r="K57" i="4"/>
  <c r="L58" i="4"/>
  <c r="N58" i="4" s="1"/>
  <c r="K68" i="4"/>
  <c r="L68" i="4" s="1"/>
  <c r="N68" i="4" s="1"/>
  <c r="L69" i="4"/>
  <c r="N69" i="4" s="1"/>
  <c r="K71" i="4"/>
  <c r="L71" i="4" s="1"/>
  <c r="N71" i="4" s="1"/>
  <c r="L72" i="4"/>
  <c r="N72" i="4" s="1"/>
  <c r="K79" i="4"/>
  <c r="L79" i="4" s="1"/>
  <c r="N79" i="4" s="1"/>
  <c r="L80" i="4"/>
  <c r="N80" i="4" s="1"/>
  <c r="K82" i="4"/>
  <c r="L83" i="4"/>
  <c r="N83" i="4" s="1"/>
  <c r="K106" i="4"/>
  <c r="L107" i="4"/>
  <c r="N107" i="4" s="1"/>
  <c r="K109" i="4"/>
  <c r="L110" i="4"/>
  <c r="N110" i="4" s="1"/>
  <c r="L117" i="4"/>
  <c r="N117" i="4" s="1"/>
  <c r="N116" i="4" s="1"/>
  <c r="N115" i="4" s="1"/>
  <c r="K125" i="4"/>
  <c r="L125" i="4" s="1"/>
  <c r="N125" i="4" s="1"/>
  <c r="L126" i="4"/>
  <c r="N126" i="4" s="1"/>
  <c r="L140" i="4"/>
  <c r="L136" i="4" s="1"/>
  <c r="K229" i="4"/>
  <c r="L229" i="4" s="1"/>
  <c r="N229" i="4" s="1"/>
  <c r="L230" i="4"/>
  <c r="N230" i="4" s="1"/>
  <c r="K232" i="4"/>
  <c r="L233" i="4"/>
  <c r="N233" i="4" s="1"/>
  <c r="L236" i="4"/>
  <c r="K239" i="4"/>
  <c r="L240" i="4"/>
  <c r="N240" i="4" s="1"/>
  <c r="K247" i="4"/>
  <c r="L248" i="4"/>
  <c r="N248" i="4" s="1"/>
  <c r="K254" i="4"/>
  <c r="L255" i="4"/>
  <c r="N255" i="4" s="1"/>
  <c r="K266" i="4"/>
  <c r="L266" i="4" s="1"/>
  <c r="N266" i="4" s="1"/>
  <c r="L267" i="4"/>
  <c r="N267" i="4" s="1"/>
  <c r="K160" i="4"/>
  <c r="L161" i="4"/>
  <c r="N161" i="4" s="1"/>
  <c r="K176" i="4"/>
  <c r="L177" i="4"/>
  <c r="N177" i="4" s="1"/>
  <c r="K182" i="4"/>
  <c r="L182" i="4" s="1"/>
  <c r="N182" i="4" s="1"/>
  <c r="L183" i="4"/>
  <c r="N183" i="4" s="1"/>
  <c r="K196" i="4"/>
  <c r="L197" i="4"/>
  <c r="N197" i="4" s="1"/>
  <c r="K200" i="4"/>
  <c r="L200" i="4" s="1"/>
  <c r="N200" i="4" s="1"/>
  <c r="L201" i="4"/>
  <c r="N201" i="4" s="1"/>
  <c r="K212" i="4"/>
  <c r="L213" i="4"/>
  <c r="N213" i="4" s="1"/>
  <c r="K251" i="4"/>
  <c r="L252" i="4"/>
  <c r="N252" i="4" s="1"/>
  <c r="K258" i="4"/>
  <c r="L258" i="4" s="1"/>
  <c r="N258" i="4" s="1"/>
  <c r="L259" i="4"/>
  <c r="N259" i="4" s="1"/>
  <c r="K269" i="4"/>
  <c r="L270" i="4"/>
  <c r="N270" i="4" s="1"/>
  <c r="K86" i="4"/>
  <c r="L87" i="4"/>
  <c r="N87" i="4" s="1"/>
  <c r="K242" i="4"/>
  <c r="L243" i="4"/>
  <c r="N243" i="4" s="1"/>
  <c r="K288" i="4"/>
  <c r="K297" i="4"/>
  <c r="L297" i="4" s="1"/>
  <c r="N297" i="4" s="1"/>
  <c r="L298" i="4"/>
  <c r="N298" i="4" s="1"/>
  <c r="K303" i="4"/>
  <c r="J242" i="4"/>
  <c r="J82" i="4"/>
  <c r="J20" i="4"/>
  <c r="J160" i="4"/>
  <c r="J232" i="4"/>
  <c r="J314" i="4"/>
  <c r="J239" i="4"/>
  <c r="J7" i="4"/>
  <c r="J12" i="4"/>
  <c r="J86" i="4"/>
  <c r="J254" i="4"/>
  <c r="J250" i="4" s="1"/>
  <c r="J304" i="4"/>
  <c r="L304" i="4" s="1"/>
  <c r="J109" i="4"/>
  <c r="J102" i="4" s="1"/>
  <c r="J293" i="4"/>
  <c r="L293" i="4" s="1"/>
  <c r="N293" i="4" s="1"/>
  <c r="J246" i="4"/>
  <c r="J212" i="4"/>
  <c r="J269" i="4"/>
  <c r="J290" i="4"/>
  <c r="L290" i="4" s="1"/>
  <c r="N290" i="4" s="1"/>
  <c r="N304" i="4" l="1"/>
  <c r="N332" i="4"/>
  <c r="L332" i="4"/>
  <c r="K102" i="4"/>
  <c r="L235" i="4"/>
  <c r="N236" i="4"/>
  <c r="N235" i="4" s="1"/>
  <c r="N140" i="4"/>
  <c r="N136" i="4" s="1"/>
  <c r="J35" i="4"/>
  <c r="L35" i="4" s="1"/>
  <c r="N35" i="4" s="1"/>
  <c r="L106" i="4"/>
  <c r="L116" i="4"/>
  <c r="L115" i="4" s="1"/>
  <c r="L176" i="4"/>
  <c r="N176" i="4" s="1"/>
  <c r="L12" i="4"/>
  <c r="N12" i="4" s="1"/>
  <c r="L269" i="4"/>
  <c r="N269" i="4" s="1"/>
  <c r="L254" i="4"/>
  <c r="N254" i="4" s="1"/>
  <c r="L239" i="4"/>
  <c r="N239" i="4" s="1"/>
  <c r="L212" i="4"/>
  <c r="N212" i="4" s="1"/>
  <c r="L82" i="4"/>
  <c r="N82" i="4" s="1"/>
  <c r="L160" i="4"/>
  <c r="N160" i="4" s="1"/>
  <c r="L232" i="4"/>
  <c r="N232" i="4" s="1"/>
  <c r="L20" i="4"/>
  <c r="N20" i="4" s="1"/>
  <c r="K56" i="4"/>
  <c r="L56" i="4" s="1"/>
  <c r="N56" i="4" s="1"/>
  <c r="L57" i="4"/>
  <c r="N57" i="4" s="1"/>
  <c r="L109" i="4"/>
  <c r="N109" i="4" s="1"/>
  <c r="K246" i="4"/>
  <c r="L246" i="4" s="1"/>
  <c r="N246" i="4" s="1"/>
  <c r="L247" i="4"/>
  <c r="N247" i="4" s="1"/>
  <c r="K195" i="4"/>
  <c r="L195" i="4" s="1"/>
  <c r="N195" i="4" s="1"/>
  <c r="L196" i="4"/>
  <c r="N196" i="4" s="1"/>
  <c r="L251" i="4"/>
  <c r="N251" i="4" s="1"/>
  <c r="K250" i="4"/>
  <c r="L250" i="4" s="1"/>
  <c r="N250" i="4" s="1"/>
  <c r="K85" i="4"/>
  <c r="L86" i="4"/>
  <c r="N86" i="4" s="1"/>
  <c r="L242" i="4"/>
  <c r="N242" i="4" s="1"/>
  <c r="K238" i="4"/>
  <c r="K373" i="17"/>
  <c r="K385" i="17" s="1"/>
  <c r="K296" i="4"/>
  <c r="J303" i="4"/>
  <c r="J313" i="4"/>
  <c r="J289" i="4"/>
  <c r="L289" i="4" s="1"/>
  <c r="N289" i="4" s="1"/>
  <c r="J85" i="4"/>
  <c r="J238" i="4"/>
  <c r="J11" i="4"/>
  <c r="L11" i="4" s="1"/>
  <c r="N11" i="4" s="1"/>
  <c r="J366" i="17" l="1"/>
  <c r="J378" i="17" s="1"/>
  <c r="N106" i="4"/>
  <c r="N102" i="4" s="1"/>
  <c r="L102" i="4"/>
  <c r="L238" i="4"/>
  <c r="N238" i="4" s="1"/>
  <c r="L85" i="4"/>
  <c r="K366" i="17"/>
  <c r="K378" i="17" s="1"/>
  <c r="K374" i="17"/>
  <c r="K386" i="17" s="1"/>
  <c r="J288" i="4"/>
  <c r="J296" i="4"/>
  <c r="J374" i="17" l="1"/>
  <c r="J386" i="17" s="1"/>
  <c r="N366" i="17"/>
  <c r="N378" i="17" s="1"/>
  <c r="N85" i="4"/>
  <c r="J373" i="17"/>
  <c r="J385" i="17" s="1"/>
  <c r="L288" i="4"/>
  <c r="L296" i="4"/>
  <c r="K245" i="16"/>
  <c r="M245" i="16" s="1"/>
  <c r="O245" i="16" s="1"/>
  <c r="J274" i="15"/>
  <c r="N373" i="17" l="1"/>
  <c r="N385" i="17" s="1"/>
  <c r="N288" i="4"/>
  <c r="N374" i="17"/>
  <c r="N386" i="17" s="1"/>
  <c r="N296" i="4"/>
  <c r="L274" i="15"/>
  <c r="K220" i="5"/>
  <c r="K219" i="5" s="1"/>
  <c r="J46" i="4"/>
  <c r="J273" i="15"/>
  <c r="N274" i="15" l="1"/>
  <c r="J45" i="4"/>
  <c r="L46" i="4"/>
  <c r="N46" i="4" s="1"/>
  <c r="J225" i="4"/>
  <c r="L225" i="4" s="1"/>
  <c r="N225" i="4" s="1"/>
  <c r="O219" i="5" l="1"/>
  <c r="Q219" i="5" s="1"/>
  <c r="Q220" i="5"/>
  <c r="L153" i="16"/>
  <c r="L152" i="16" s="1"/>
  <c r="M153" i="16"/>
  <c r="M152" i="16" s="1"/>
  <c r="K153" i="16"/>
  <c r="L151" i="16"/>
  <c r="L150" i="16" s="1"/>
  <c r="M151" i="16"/>
  <c r="M150" i="16" s="1"/>
  <c r="K151" i="16"/>
  <c r="K150" i="16" s="1"/>
  <c r="K256" i="16"/>
  <c r="K254" i="16" s="1"/>
  <c r="K253" i="16" s="1"/>
  <c r="K347" i="16" s="1"/>
  <c r="L256" i="16"/>
  <c r="L254" i="16" s="1"/>
  <c r="L253" i="16" s="1"/>
  <c r="L347" i="16" s="1"/>
  <c r="M256" i="16"/>
  <c r="M254" i="16" s="1"/>
  <c r="M253" i="16" s="1"/>
  <c r="M347" i="16" s="1"/>
  <c r="K261" i="16"/>
  <c r="K259" i="16" s="1"/>
  <c r="K258" i="16" s="1"/>
  <c r="L261" i="16"/>
  <c r="L259" i="16" s="1"/>
  <c r="L258" i="16" s="1"/>
  <c r="M261" i="16"/>
  <c r="M259" i="16" s="1"/>
  <c r="M258" i="16" s="1"/>
  <c r="K251" i="16"/>
  <c r="K250" i="16" s="1"/>
  <c r="K249" i="16" s="1"/>
  <c r="L251" i="16"/>
  <c r="L250" i="16" s="1"/>
  <c r="L249" i="16" s="1"/>
  <c r="M251" i="16"/>
  <c r="M250" i="16" s="1"/>
  <c r="M249" i="16" s="1"/>
  <c r="K217" i="16"/>
  <c r="K216" i="16" s="1"/>
  <c r="L217" i="16"/>
  <c r="L216" i="16" s="1"/>
  <c r="M217" i="16"/>
  <c r="M216" i="16" s="1"/>
  <c r="K219" i="16"/>
  <c r="K218" i="16" s="1"/>
  <c r="L219" i="16"/>
  <c r="L218" i="16" s="1"/>
  <c r="M219" i="16"/>
  <c r="M218" i="16" s="1"/>
  <c r="K192" i="16"/>
  <c r="K191" i="16" s="1"/>
  <c r="L192" i="16"/>
  <c r="L191" i="16" s="1"/>
  <c r="M192" i="16"/>
  <c r="M191" i="16" s="1"/>
  <c r="K194" i="16"/>
  <c r="K193" i="16" s="1"/>
  <c r="L194" i="16"/>
  <c r="L193" i="16" s="1"/>
  <c r="M194" i="16"/>
  <c r="M193" i="16" s="1"/>
  <c r="K211" i="16"/>
  <c r="L211" i="16"/>
  <c r="L210" i="16" s="1"/>
  <c r="L209" i="16" s="1"/>
  <c r="L345" i="16" s="1"/>
  <c r="M211" i="16"/>
  <c r="M210" i="16" s="1"/>
  <c r="M209" i="16" s="1"/>
  <c r="M345" i="16" s="1"/>
  <c r="K214" i="16"/>
  <c r="K213" i="16" s="1"/>
  <c r="L214" i="16"/>
  <c r="L213" i="16" s="1"/>
  <c r="M214" i="16"/>
  <c r="M213" i="16" s="1"/>
  <c r="K187" i="16"/>
  <c r="K186" i="16" s="1"/>
  <c r="L187" i="16"/>
  <c r="L186" i="16" s="1"/>
  <c r="M187" i="16"/>
  <c r="M186" i="16" s="1"/>
  <c r="K189" i="16"/>
  <c r="K188" i="16" s="1"/>
  <c r="L189" i="16"/>
  <c r="L188" i="16" s="1"/>
  <c r="M189" i="16"/>
  <c r="M188" i="16" s="1"/>
  <c r="K171" i="16"/>
  <c r="L171" i="16"/>
  <c r="L170" i="16" s="1"/>
  <c r="L169" i="16" s="1"/>
  <c r="M171" i="16"/>
  <c r="M170" i="16" s="1"/>
  <c r="M169" i="16" s="1"/>
  <c r="K229" i="16"/>
  <c r="K228" i="16" s="1"/>
  <c r="K227" i="16" s="1"/>
  <c r="K370" i="16" s="1"/>
  <c r="L229" i="16"/>
  <c r="L228" i="16" s="1"/>
  <c r="L227" i="16" s="1"/>
  <c r="L370" i="16" s="1"/>
  <c r="M229" i="16"/>
  <c r="M228" i="16" s="1"/>
  <c r="M227" i="16" s="1"/>
  <c r="M370" i="16" s="1"/>
  <c r="K208" i="16"/>
  <c r="K207" i="16" s="1"/>
  <c r="L208" i="16"/>
  <c r="L207" i="16" s="1"/>
  <c r="M208" i="16"/>
  <c r="M207" i="16" s="1"/>
  <c r="K206" i="16"/>
  <c r="L206" i="16"/>
  <c r="M206" i="16"/>
  <c r="K197" i="16"/>
  <c r="L197" i="16"/>
  <c r="L196" i="16" s="1"/>
  <c r="L195" i="16" s="1"/>
  <c r="L341" i="16" s="1"/>
  <c r="M197" i="16"/>
  <c r="M196" i="16" s="1"/>
  <c r="M195" i="16" s="1"/>
  <c r="M341" i="16" s="1"/>
  <c r="K180" i="16"/>
  <c r="K177" i="16"/>
  <c r="L212" i="16" l="1"/>
  <c r="L351" i="16"/>
  <c r="M212" i="16"/>
  <c r="M351" i="16"/>
  <c r="K212" i="16"/>
  <c r="K351" i="16"/>
  <c r="M257" i="16"/>
  <c r="M346" i="16" s="1"/>
  <c r="L257" i="16"/>
  <c r="L346" i="16" s="1"/>
  <c r="K252" i="16"/>
  <c r="L252" i="16"/>
  <c r="M252" i="16"/>
  <c r="K165" i="4"/>
  <c r="L165" i="4" s="1"/>
  <c r="N165" i="4" s="1"/>
  <c r="K193" i="15"/>
  <c r="M149" i="16"/>
  <c r="M368" i="16" s="1"/>
  <c r="L149" i="16"/>
  <c r="L368" i="16" s="1"/>
  <c r="K152" i="16"/>
  <c r="M190" i="16"/>
  <c r="L190" i="16"/>
  <c r="K190" i="16"/>
  <c r="K210" i="16"/>
  <c r="K170" i="16"/>
  <c r="K196" i="16"/>
  <c r="K176" i="16"/>
  <c r="K179" i="16"/>
  <c r="K164" i="4" l="1"/>
  <c r="K149" i="16"/>
  <c r="K368" i="16" s="1"/>
  <c r="K257" i="16"/>
  <c r="K346" i="16" s="1"/>
  <c r="K209" i="16"/>
  <c r="K345" i="16" s="1"/>
  <c r="K169" i="16"/>
  <c r="K195" i="16"/>
  <c r="K341" i="16" s="1"/>
  <c r="K175" i="16"/>
  <c r="K331" i="16" s="1"/>
  <c r="K178" i="16"/>
  <c r="K332" i="16" s="1"/>
  <c r="K190" i="15"/>
  <c r="G116" i="2" l="1"/>
  <c r="K191" i="4"/>
  <c r="L226" i="16"/>
  <c r="K315" i="4"/>
  <c r="G115" i="2" l="1"/>
  <c r="I116" i="2"/>
  <c r="I115" i="2" s="1"/>
  <c r="K190" i="4"/>
  <c r="K314" i="4"/>
  <c r="L315" i="4"/>
  <c r="N315" i="4" s="1"/>
  <c r="J369" i="15"/>
  <c r="K369" i="15"/>
  <c r="L369" i="15"/>
  <c r="K313" i="4" l="1"/>
  <c r="L313" i="4" s="1"/>
  <c r="L314" i="4"/>
  <c r="N314" i="4" s="1"/>
  <c r="K132" i="4"/>
  <c r="N313" i="4" l="1"/>
  <c r="N309" i="4" s="1"/>
  <c r="N303" i="4" s="1"/>
  <c r="L309" i="4"/>
  <c r="L303" i="4" s="1"/>
  <c r="K131" i="4"/>
  <c r="J125" i="15"/>
  <c r="J102" i="15"/>
  <c r="J139" i="15"/>
  <c r="L102" i="15" l="1"/>
  <c r="K78" i="5"/>
  <c r="K77" i="5" s="1"/>
  <c r="K76" i="5" s="1"/>
  <c r="L139" i="15"/>
  <c r="K100" i="5"/>
  <c r="K99" i="5" s="1"/>
  <c r="K98" i="5" s="1"/>
  <c r="L125" i="15"/>
  <c r="K64" i="5"/>
  <c r="K63" i="5" s="1"/>
  <c r="K60" i="5" s="1"/>
  <c r="K130" i="4"/>
  <c r="K129" i="4" s="1"/>
  <c r="J228" i="4"/>
  <c r="L228" i="4" s="1"/>
  <c r="N228" i="4" s="1"/>
  <c r="J189" i="4"/>
  <c r="L189" i="4" s="1"/>
  <c r="N189" i="4" s="1"/>
  <c r="J222" i="4"/>
  <c r="J221" i="4" s="1"/>
  <c r="J220" i="4" s="1"/>
  <c r="J132" i="4"/>
  <c r="N139" i="15" l="1"/>
  <c r="O118" i="16" s="1"/>
  <c r="O117" i="16" s="1"/>
  <c r="O116" i="16" s="1"/>
  <c r="O329" i="16" s="1"/>
  <c r="N125" i="15"/>
  <c r="O70" i="16" s="1"/>
  <c r="O69" i="16" s="1"/>
  <c r="O66" i="16" s="1"/>
  <c r="N102" i="15"/>
  <c r="J131" i="4"/>
  <c r="L132" i="4"/>
  <c r="N132" i="4" s="1"/>
  <c r="J188" i="15"/>
  <c r="O63" i="5" l="1"/>
  <c r="Q64" i="5"/>
  <c r="O77" i="5"/>
  <c r="Q78" i="5"/>
  <c r="O99" i="5"/>
  <c r="Q100" i="5"/>
  <c r="L188" i="15"/>
  <c r="K179" i="5"/>
  <c r="K178" i="5" s="1"/>
  <c r="K177" i="5" s="1"/>
  <c r="J130" i="4"/>
  <c r="J129" i="4" s="1"/>
  <c r="L131" i="4"/>
  <c r="N131" i="4" s="1"/>
  <c r="K128" i="4"/>
  <c r="K159" i="4"/>
  <c r="J159" i="4"/>
  <c r="J158" i="4" s="1"/>
  <c r="J157" i="4" s="1"/>
  <c r="O76" i="5" l="1"/>
  <c r="Q76" i="5" s="1"/>
  <c r="Q77" i="5"/>
  <c r="O98" i="5"/>
  <c r="Q98" i="5" s="1"/>
  <c r="Q99" i="5"/>
  <c r="O60" i="5"/>
  <c r="Q63" i="5"/>
  <c r="Q60" i="5" s="1"/>
  <c r="N188" i="15"/>
  <c r="O200" i="16" s="1"/>
  <c r="O199" i="16" s="1"/>
  <c r="O198" i="16" s="1"/>
  <c r="O342" i="16" s="1"/>
  <c r="L130" i="4"/>
  <c r="K369" i="17"/>
  <c r="K381" i="17" s="1"/>
  <c r="K158" i="4"/>
  <c r="L159" i="4"/>
  <c r="N159" i="4" s="1"/>
  <c r="J65" i="4"/>
  <c r="K65" i="4"/>
  <c r="O178" i="5" l="1"/>
  <c r="Q179" i="5"/>
  <c r="N130" i="4"/>
  <c r="N129" i="4" s="1"/>
  <c r="L129" i="4"/>
  <c r="L65" i="4"/>
  <c r="N65" i="4" s="1"/>
  <c r="J128" i="4"/>
  <c r="K157" i="4"/>
  <c r="L157" i="4" s="1"/>
  <c r="N157" i="4" s="1"/>
  <c r="L158" i="4"/>
  <c r="N158" i="4" s="1"/>
  <c r="M400" i="16"/>
  <c r="L68" i="16"/>
  <c r="M68" i="16"/>
  <c r="K68" i="16"/>
  <c r="L43" i="16"/>
  <c r="M43" i="16"/>
  <c r="K43" i="16"/>
  <c r="L283" i="16"/>
  <c r="K283" i="16"/>
  <c r="L57" i="16"/>
  <c r="L56" i="16" s="1"/>
  <c r="M57" i="16"/>
  <c r="M56" i="16" s="1"/>
  <c r="K57" i="16"/>
  <c r="C9" i="13"/>
  <c r="D9" i="13" s="1"/>
  <c r="C13" i="13"/>
  <c r="D13" i="13" s="1"/>
  <c r="C14" i="9"/>
  <c r="C13" i="9"/>
  <c r="C12" i="13" s="1"/>
  <c r="D12" i="13" s="1"/>
  <c r="C12" i="9"/>
  <c r="C11" i="13" s="1"/>
  <c r="D11" i="13" s="1"/>
  <c r="C11" i="9"/>
  <c r="C10" i="13" s="1"/>
  <c r="D10" i="13" s="1"/>
  <c r="C10" i="9"/>
  <c r="C9" i="9"/>
  <c r="C8" i="13" s="1"/>
  <c r="D8" i="13" s="1"/>
  <c r="O177" i="5" l="1"/>
  <c r="Q177" i="5" s="1"/>
  <c r="Q178" i="5"/>
  <c r="J369" i="17"/>
  <c r="J381" i="17" s="1"/>
  <c r="L128" i="4"/>
  <c r="K56" i="16"/>
  <c r="L282" i="16"/>
  <c r="L281" i="16" s="1"/>
  <c r="L280" i="16" s="1"/>
  <c r="K282" i="16"/>
  <c r="K124" i="15"/>
  <c r="K47" i="15"/>
  <c r="J47" i="15"/>
  <c r="L12" i="16"/>
  <c r="L11" i="16" s="1"/>
  <c r="L10" i="16" s="1"/>
  <c r="M12" i="16"/>
  <c r="M11" i="16" s="1"/>
  <c r="M10" i="16" s="1"/>
  <c r="L15" i="16"/>
  <c r="L14" i="16" s="1"/>
  <c r="M15" i="16"/>
  <c r="M14" i="16" s="1"/>
  <c r="L17" i="16"/>
  <c r="M17" i="16"/>
  <c r="L20" i="16"/>
  <c r="M20" i="16"/>
  <c r="L21" i="16"/>
  <c r="M21" i="16"/>
  <c r="L24" i="16"/>
  <c r="L23" i="16" s="1"/>
  <c r="L22" i="16" s="1"/>
  <c r="L325" i="16" s="1"/>
  <c r="L33" i="16"/>
  <c r="L32" i="16" s="1"/>
  <c r="M33" i="16"/>
  <c r="M32" i="16" s="1"/>
  <c r="L35" i="16"/>
  <c r="M35" i="16"/>
  <c r="L38" i="16"/>
  <c r="L37" i="16" s="1"/>
  <c r="M38" i="16"/>
  <c r="M37" i="16" s="1"/>
  <c r="L40" i="16"/>
  <c r="M40" i="16"/>
  <c r="L42" i="16"/>
  <c r="L41" i="16" s="1"/>
  <c r="L339" i="16" s="1"/>
  <c r="M42" i="16"/>
  <c r="M41" i="16" s="1"/>
  <c r="M339" i="16" s="1"/>
  <c r="L46" i="16"/>
  <c r="M46" i="16"/>
  <c r="L49" i="16"/>
  <c r="M49" i="16"/>
  <c r="L52" i="16"/>
  <c r="L51" i="16" s="1"/>
  <c r="M52" i="16"/>
  <c r="M51" i="16" s="1"/>
  <c r="L54" i="16"/>
  <c r="L53" i="16" s="1"/>
  <c r="M54" i="16"/>
  <c r="M53" i="16" s="1"/>
  <c r="L59" i="16"/>
  <c r="L58" i="16" s="1"/>
  <c r="L55" i="16" s="1"/>
  <c r="L357" i="16" s="1"/>
  <c r="M59" i="16"/>
  <c r="M58" i="16" s="1"/>
  <c r="M55" i="16" s="1"/>
  <c r="M357" i="16" s="1"/>
  <c r="L62" i="16"/>
  <c r="L61" i="16" s="1"/>
  <c r="L60" i="16" s="1"/>
  <c r="L359" i="16" s="1"/>
  <c r="M62" i="16"/>
  <c r="M61" i="16" s="1"/>
  <c r="M60" i="16" s="1"/>
  <c r="M359" i="16" s="1"/>
  <c r="L65" i="16"/>
  <c r="L64" i="16" s="1"/>
  <c r="L63" i="16" s="1"/>
  <c r="L360" i="16" s="1"/>
  <c r="M65" i="16"/>
  <c r="M64" i="16" s="1"/>
  <c r="M63" i="16" s="1"/>
  <c r="M360" i="16" s="1"/>
  <c r="L70" i="16"/>
  <c r="L69" i="16" s="1"/>
  <c r="M70" i="16"/>
  <c r="M69" i="16" s="1"/>
  <c r="L73" i="16"/>
  <c r="L71" i="16" s="1"/>
  <c r="L366" i="16" s="1"/>
  <c r="M73" i="16"/>
  <c r="M71" i="16" s="1"/>
  <c r="M366" i="16" s="1"/>
  <c r="L82" i="16"/>
  <c r="L81" i="16" s="1"/>
  <c r="M82" i="16"/>
  <c r="M81" i="16" s="1"/>
  <c r="L84" i="16"/>
  <c r="L83" i="16" s="1"/>
  <c r="M84" i="16"/>
  <c r="M83" i="16" s="1"/>
  <c r="L87" i="16"/>
  <c r="L86" i="16" s="1"/>
  <c r="L85" i="16" s="1"/>
  <c r="M87" i="16"/>
  <c r="M86" i="16" s="1"/>
  <c r="M85" i="16" s="1"/>
  <c r="L90" i="16"/>
  <c r="L93" i="16"/>
  <c r="L92" i="16" s="1"/>
  <c r="L91" i="16" s="1"/>
  <c r="L379" i="16" s="1"/>
  <c r="M93" i="16"/>
  <c r="M92" i="16" s="1"/>
  <c r="M91" i="16" s="1"/>
  <c r="M379" i="16" s="1"/>
  <c r="L101" i="16"/>
  <c r="L100" i="16" s="1"/>
  <c r="M101" i="16"/>
  <c r="M100" i="16" s="1"/>
  <c r="L115" i="16"/>
  <c r="L114" i="16" s="1"/>
  <c r="L113" i="16" s="1"/>
  <c r="L328" i="16" s="1"/>
  <c r="M115" i="16"/>
  <c r="M114" i="16" s="1"/>
  <c r="M113" i="16" s="1"/>
  <c r="M328" i="16" s="1"/>
  <c r="L118" i="16"/>
  <c r="L117" i="16" s="1"/>
  <c r="L116" i="16" s="1"/>
  <c r="L329" i="16" s="1"/>
  <c r="M118" i="16"/>
  <c r="M117" i="16" s="1"/>
  <c r="M116" i="16" s="1"/>
  <c r="M329" i="16" s="1"/>
  <c r="L121" i="16"/>
  <c r="L120" i="16" s="1"/>
  <c r="L119" i="16" s="1"/>
  <c r="L340" i="16" s="1"/>
  <c r="M121" i="16"/>
  <c r="M120" i="16" s="1"/>
  <c r="M119" i="16" s="1"/>
  <c r="M340" i="16" s="1"/>
  <c r="L124" i="16"/>
  <c r="L123" i="16" s="1"/>
  <c r="L122" i="16" s="1"/>
  <c r="L362" i="16" s="1"/>
  <c r="M124" i="16"/>
  <c r="M123" i="16" s="1"/>
  <c r="M122" i="16" s="1"/>
  <c r="M362" i="16" s="1"/>
  <c r="L127" i="16"/>
  <c r="L126" i="16" s="1"/>
  <c r="L125" i="16" s="1"/>
  <c r="L363" i="16" s="1"/>
  <c r="M127" i="16"/>
  <c r="M126" i="16" s="1"/>
  <c r="M125" i="16" s="1"/>
  <c r="M363" i="16" s="1"/>
  <c r="L135" i="16"/>
  <c r="L134" i="16" s="1"/>
  <c r="L133" i="16" s="1"/>
  <c r="M135" i="16"/>
  <c r="M134" i="16" s="1"/>
  <c r="M133" i="16" s="1"/>
  <c r="L140" i="16"/>
  <c r="L139" i="16" s="1"/>
  <c r="L138" i="16" s="1"/>
  <c r="L354" i="16" s="1"/>
  <c r="M140" i="16"/>
  <c r="M139" i="16" s="1"/>
  <c r="M138" i="16" s="1"/>
  <c r="M354" i="16" s="1"/>
  <c r="L143" i="16"/>
  <c r="L142" i="16" s="1"/>
  <c r="L141" i="16" s="1"/>
  <c r="L355" i="16" s="1"/>
  <c r="M143" i="16"/>
  <c r="M142" i="16" s="1"/>
  <c r="M141" i="16" s="1"/>
  <c r="M355" i="16" s="1"/>
  <c r="L148" i="16"/>
  <c r="L147" i="16" s="1"/>
  <c r="L146" i="16" s="1"/>
  <c r="L349" i="16" s="1"/>
  <c r="M148" i="16"/>
  <c r="M147" i="16" s="1"/>
  <c r="M146" i="16" s="1"/>
  <c r="M349" i="16" s="1"/>
  <c r="L156" i="16"/>
  <c r="L155" i="16" s="1"/>
  <c r="M156" i="16"/>
  <c r="M155" i="16" s="1"/>
  <c r="L161" i="16"/>
  <c r="L160" i="16" s="1"/>
  <c r="L159" i="16" s="1"/>
  <c r="M161" i="16"/>
  <c r="M160" i="16" s="1"/>
  <c r="M159" i="16" s="1"/>
  <c r="L166" i="16"/>
  <c r="L165" i="16" s="1"/>
  <c r="L164" i="16" s="1"/>
  <c r="M166" i="16"/>
  <c r="M165" i="16" s="1"/>
  <c r="M164" i="16" s="1"/>
  <c r="L200" i="16"/>
  <c r="L199" i="16" s="1"/>
  <c r="L198" i="16" s="1"/>
  <c r="L342" i="16" s="1"/>
  <c r="M200" i="16"/>
  <c r="M199" i="16" s="1"/>
  <c r="M198" i="16" s="1"/>
  <c r="M342" i="16" s="1"/>
  <c r="L205" i="16"/>
  <c r="L204" i="16" s="1"/>
  <c r="L344" i="16" s="1"/>
  <c r="M205" i="16"/>
  <c r="M204" i="16" s="1"/>
  <c r="M344" i="16" s="1"/>
  <c r="L225" i="16"/>
  <c r="L224" i="16" s="1"/>
  <c r="L232" i="16"/>
  <c r="L231" i="16" s="1"/>
  <c r="L230" i="16" s="1"/>
  <c r="L373" i="16" s="1"/>
  <c r="M232" i="16"/>
  <c r="M231" i="16" s="1"/>
  <c r="M230" i="16" s="1"/>
  <c r="M373" i="16" s="1"/>
  <c r="L235" i="16"/>
  <c r="L234" i="16" s="1"/>
  <c r="L233" i="16" s="1"/>
  <c r="L376" i="16" s="1"/>
  <c r="M235" i="16"/>
  <c r="M234" i="16" s="1"/>
  <c r="M233" i="16" s="1"/>
  <c r="M376" i="16" s="1"/>
  <c r="L244" i="16"/>
  <c r="L243" i="16" s="1"/>
  <c r="L248" i="16"/>
  <c r="L247" i="16" s="1"/>
  <c r="L246" i="16" s="1"/>
  <c r="M248" i="16"/>
  <c r="M247" i="16" s="1"/>
  <c r="M246" i="16" s="1"/>
  <c r="L271" i="16"/>
  <c r="L270" i="16" s="1"/>
  <c r="L269" i="16" s="1"/>
  <c r="M271" i="16"/>
  <c r="M270" i="16" s="1"/>
  <c r="M269" i="16" s="1"/>
  <c r="L279" i="16"/>
  <c r="M279" i="16"/>
  <c r="L290" i="16"/>
  <c r="L289" i="16" s="1"/>
  <c r="M290" i="16"/>
  <c r="M289" i="16" s="1"/>
  <c r="L292" i="16"/>
  <c r="M292" i="16"/>
  <c r="L294" i="16"/>
  <c r="M294" i="16"/>
  <c r="M19" i="16"/>
  <c r="J272" i="15"/>
  <c r="K273" i="15"/>
  <c r="J270" i="15"/>
  <c r="J227" i="15"/>
  <c r="J185" i="15"/>
  <c r="J130" i="15"/>
  <c r="M319" i="16" l="1"/>
  <c r="L319" i="16"/>
  <c r="L158" i="16"/>
  <c r="L157" i="16" s="1"/>
  <c r="L371" i="16"/>
  <c r="M163" i="16"/>
  <c r="M162" i="16" s="1"/>
  <c r="M358" i="16"/>
  <c r="M132" i="16"/>
  <c r="M131" i="16" s="1"/>
  <c r="M335" i="16"/>
  <c r="M99" i="16"/>
  <c r="M98" i="16" s="1"/>
  <c r="M97" i="16" s="1"/>
  <c r="M364" i="16"/>
  <c r="L384" i="16"/>
  <c r="L163" i="16"/>
  <c r="L162" i="16" s="1"/>
  <c r="L358" i="16"/>
  <c r="L132" i="16"/>
  <c r="L131" i="16" s="1"/>
  <c r="L335" i="16"/>
  <c r="L99" i="16"/>
  <c r="L98" i="16" s="1"/>
  <c r="L97" i="16" s="1"/>
  <c r="L364" i="16"/>
  <c r="M158" i="16"/>
  <c r="M157" i="16" s="1"/>
  <c r="M371" i="16"/>
  <c r="N369" i="17"/>
  <c r="N381" i="17" s="1"/>
  <c r="N128" i="4"/>
  <c r="L270" i="15"/>
  <c r="K216" i="5"/>
  <c r="K215" i="5" s="1"/>
  <c r="L47" i="15"/>
  <c r="N47" i="15" s="1"/>
  <c r="L130" i="15"/>
  <c r="K91" i="5"/>
  <c r="K90" i="5" s="1"/>
  <c r="K89" i="5" s="1"/>
  <c r="K88" i="5" s="1"/>
  <c r="K87" i="5" s="1"/>
  <c r="L185" i="15"/>
  <c r="K153" i="5"/>
  <c r="K152" i="5" s="1"/>
  <c r="K151" i="5" s="1"/>
  <c r="L272" i="15"/>
  <c r="K218" i="5"/>
  <c r="L227" i="15"/>
  <c r="K162" i="5"/>
  <c r="K161" i="5" s="1"/>
  <c r="K188" i="4"/>
  <c r="K45" i="4"/>
  <c r="L45" i="4" s="1"/>
  <c r="N45" i="4" s="1"/>
  <c r="L273" i="15"/>
  <c r="N273" i="15" s="1"/>
  <c r="K172" i="4"/>
  <c r="J205" i="4"/>
  <c r="J204" i="4" s="1"/>
  <c r="J219" i="4"/>
  <c r="J218" i="4" s="1"/>
  <c r="J217" i="4" s="1"/>
  <c r="K205" i="4"/>
  <c r="K219" i="4"/>
  <c r="K169" i="4"/>
  <c r="J156" i="4"/>
  <c r="J155" i="4" s="1"/>
  <c r="J154" i="4" s="1"/>
  <c r="J42" i="4"/>
  <c r="J41" i="4" s="1"/>
  <c r="J44" i="4"/>
  <c r="J43" i="4" s="1"/>
  <c r="K42" i="4"/>
  <c r="K156" i="4"/>
  <c r="K222" i="4"/>
  <c r="K44" i="4"/>
  <c r="M278" i="16"/>
  <c r="M277" i="16" s="1"/>
  <c r="L278" i="16"/>
  <c r="L277" i="16" s="1"/>
  <c r="M177" i="16"/>
  <c r="M176" i="16" s="1"/>
  <c r="M175" i="16" s="1"/>
  <c r="M331" i="16" s="1"/>
  <c r="L180" i="16"/>
  <c r="L179" i="16" s="1"/>
  <c r="L178" i="16" s="1"/>
  <c r="L332" i="16" s="1"/>
  <c r="M180" i="16"/>
  <c r="M179" i="16" s="1"/>
  <c r="M178" i="16" s="1"/>
  <c r="M332" i="16" s="1"/>
  <c r="L183" i="16"/>
  <c r="L182" i="16" s="1"/>
  <c r="K183" i="16"/>
  <c r="K182" i="16" s="1"/>
  <c r="L177" i="16"/>
  <c r="L176" i="16" s="1"/>
  <c r="L175" i="16" s="1"/>
  <c r="L331" i="16" s="1"/>
  <c r="L240" i="16"/>
  <c r="L239" i="16" s="1"/>
  <c r="L112" i="16"/>
  <c r="L111" i="16" s="1"/>
  <c r="L110" i="16" s="1"/>
  <c r="L327" i="16" s="1"/>
  <c r="L242" i="16"/>
  <c r="M240" i="16"/>
  <c r="M239" i="16" s="1"/>
  <c r="M242" i="16"/>
  <c r="K281" i="16"/>
  <c r="L174" i="16"/>
  <c r="L173" i="16" s="1"/>
  <c r="L172" i="16" s="1"/>
  <c r="L330" i="16" s="1"/>
  <c r="L89" i="16"/>
  <c r="L88" i="16" s="1"/>
  <c r="L377" i="16" s="1"/>
  <c r="L48" i="16"/>
  <c r="L47" i="16" s="1"/>
  <c r="L353" i="16" s="1"/>
  <c r="L45" i="16"/>
  <c r="L44" i="16" s="1"/>
  <c r="L352" i="16" s="1"/>
  <c r="M48" i="16"/>
  <c r="M47" i="16" s="1"/>
  <c r="M353" i="16" s="1"/>
  <c r="M45" i="16"/>
  <c r="M44" i="16" s="1"/>
  <c r="M352" i="16" s="1"/>
  <c r="J229" i="15"/>
  <c r="K164" i="5" s="1"/>
  <c r="K163" i="5" s="1"/>
  <c r="Q431" i="17"/>
  <c r="M287" i="16"/>
  <c r="M286" i="16" s="1"/>
  <c r="M285" i="16" s="1"/>
  <c r="M320" i="16" s="1"/>
  <c r="L19" i="16"/>
  <c r="L18" i="16" s="1"/>
  <c r="M283" i="16"/>
  <c r="L287" i="16"/>
  <c r="L286" i="16" s="1"/>
  <c r="L285" i="16" s="1"/>
  <c r="L320" i="16" s="1"/>
  <c r="L109" i="16"/>
  <c r="L108" i="16" s="1"/>
  <c r="L107" i="16" s="1"/>
  <c r="L326" i="16" s="1"/>
  <c r="M112" i="16"/>
  <c r="M111" i="16" s="1"/>
  <c r="M110" i="16" s="1"/>
  <c r="M327" i="16" s="1"/>
  <c r="M50" i="16"/>
  <c r="M356" i="16" s="1"/>
  <c r="M18" i="16"/>
  <c r="M80" i="16"/>
  <c r="M375" i="16" s="1"/>
  <c r="L72" i="16"/>
  <c r="M137" i="16"/>
  <c r="M136" i="16" s="1"/>
  <c r="L80" i="16"/>
  <c r="L375" i="16" s="1"/>
  <c r="L50" i="16"/>
  <c r="L356" i="16" s="1"/>
  <c r="L137" i="16"/>
  <c r="L136" i="16" s="1"/>
  <c r="M154" i="16"/>
  <c r="M72" i="16"/>
  <c r="L154" i="16"/>
  <c r="N227" i="15" l="1"/>
  <c r="O183" i="16" s="1"/>
  <c r="O182" i="16" s="1"/>
  <c r="N185" i="15"/>
  <c r="O174" i="16" s="1"/>
  <c r="O173" i="16" s="1"/>
  <c r="O172" i="16" s="1"/>
  <c r="N270" i="15"/>
  <c r="O240" i="16" s="1"/>
  <c r="O239" i="16" s="1"/>
  <c r="Q218" i="5"/>
  <c r="N272" i="15"/>
  <c r="O242" i="16" s="1"/>
  <c r="M109" i="16"/>
  <c r="N130" i="15"/>
  <c r="O109" i="16" s="1"/>
  <c r="O108" i="16" s="1"/>
  <c r="O107" i="16" s="1"/>
  <c r="L145" i="16"/>
  <c r="L144" i="16" s="1"/>
  <c r="L374" i="16"/>
  <c r="M145" i="16"/>
  <c r="M374" i="16"/>
  <c r="L276" i="16"/>
  <c r="L323" i="16"/>
  <c r="M276" i="16"/>
  <c r="M323" i="16"/>
  <c r="L106" i="16"/>
  <c r="L105" i="16" s="1"/>
  <c r="M174" i="16"/>
  <c r="M173" i="16" s="1"/>
  <c r="M172" i="16" s="1"/>
  <c r="M330" i="16" s="1"/>
  <c r="M108" i="16"/>
  <c r="M107" i="16" s="1"/>
  <c r="M183" i="16"/>
  <c r="M182" i="16" s="1"/>
  <c r="K160" i="5"/>
  <c r="K218" i="4"/>
  <c r="L219" i="4"/>
  <c r="N219" i="4" s="1"/>
  <c r="K221" i="4"/>
  <c r="L222" i="4"/>
  <c r="N222" i="4" s="1"/>
  <c r="K155" i="4"/>
  <c r="L156" i="4"/>
  <c r="N156" i="4" s="1"/>
  <c r="K168" i="4"/>
  <c r="L169" i="4"/>
  <c r="N169" i="4" s="1"/>
  <c r="K171" i="4"/>
  <c r="L172" i="4"/>
  <c r="N172" i="4" s="1"/>
  <c r="K204" i="4"/>
  <c r="L204" i="4" s="1"/>
  <c r="N204" i="4" s="1"/>
  <c r="L205" i="4"/>
  <c r="N205" i="4" s="1"/>
  <c r="L229" i="15"/>
  <c r="K41" i="4"/>
  <c r="L41" i="4" s="1"/>
  <c r="N41" i="4" s="1"/>
  <c r="L42" i="4"/>
  <c r="N42" i="4" s="1"/>
  <c r="K43" i="4"/>
  <c r="L43" i="4" s="1"/>
  <c r="N43" i="4" s="1"/>
  <c r="L44" i="4"/>
  <c r="N44" i="4" s="1"/>
  <c r="K207" i="4"/>
  <c r="J207" i="4"/>
  <c r="J40" i="4"/>
  <c r="J39" i="4" s="1"/>
  <c r="K185" i="16"/>
  <c r="K184" i="16" s="1"/>
  <c r="K181" i="16" s="1"/>
  <c r="K333" i="16" s="1"/>
  <c r="L185" i="16"/>
  <c r="L184" i="16" s="1"/>
  <c r="L181" i="16" s="1"/>
  <c r="L333" i="16" s="1"/>
  <c r="K280" i="16"/>
  <c r="M282" i="16"/>
  <c r="M281" i="16" s="1"/>
  <c r="M280" i="16" s="1"/>
  <c r="M144" i="16"/>
  <c r="O152" i="5" l="1"/>
  <c r="Q153" i="5"/>
  <c r="L163" i="5"/>
  <c r="N164" i="5"/>
  <c r="O90" i="5"/>
  <c r="Q91" i="5"/>
  <c r="O215" i="5"/>
  <c r="Q215" i="5" s="1"/>
  <c r="Q216" i="5"/>
  <c r="O161" i="5"/>
  <c r="Q161" i="5" s="1"/>
  <c r="Q162" i="5"/>
  <c r="O330" i="16"/>
  <c r="N229" i="15"/>
  <c r="O185" i="16" s="1"/>
  <c r="O184" i="16" s="1"/>
  <c r="O181" i="16" s="1"/>
  <c r="O333" i="16" s="1"/>
  <c r="O326" i="16"/>
  <c r="O106" i="16"/>
  <c r="O105" i="16" s="1"/>
  <c r="M106" i="16"/>
  <c r="M105" i="16" s="1"/>
  <c r="M326" i="16"/>
  <c r="M185" i="16"/>
  <c r="M184" i="16" s="1"/>
  <c r="M181" i="16" s="1"/>
  <c r="M333" i="16" s="1"/>
  <c r="L207" i="4"/>
  <c r="N207" i="4" s="1"/>
  <c r="K40" i="4"/>
  <c r="K39" i="4" s="1"/>
  <c r="L39" i="4" s="1"/>
  <c r="N39" i="4" s="1"/>
  <c r="K217" i="4"/>
  <c r="L218" i="4"/>
  <c r="N218" i="4" s="1"/>
  <c r="K220" i="4"/>
  <c r="L220" i="4" s="1"/>
  <c r="N220" i="4" s="1"/>
  <c r="L221" i="4"/>
  <c r="N221" i="4" s="1"/>
  <c r="K154" i="4"/>
  <c r="L154" i="4" s="1"/>
  <c r="N154" i="4" s="1"/>
  <c r="L155" i="4"/>
  <c r="N155" i="4" s="1"/>
  <c r="K167" i="4"/>
  <c r="L168" i="4"/>
  <c r="N168" i="4" s="1"/>
  <c r="K170" i="4"/>
  <c r="L170" i="4" s="1"/>
  <c r="N170" i="4" s="1"/>
  <c r="L171" i="4"/>
  <c r="N171" i="4" s="1"/>
  <c r="K148" i="16"/>
  <c r="K161" i="16"/>
  <c r="K93" i="16"/>
  <c r="K87" i="16"/>
  <c r="K84" i="16"/>
  <c r="K82" i="16"/>
  <c r="K73" i="16"/>
  <c r="K70" i="16"/>
  <c r="K65" i="16"/>
  <c r="K62" i="16"/>
  <c r="K59" i="16"/>
  <c r="K52" i="16"/>
  <c r="K54" i="16"/>
  <c r="K49" i="16"/>
  <c r="K46" i="16"/>
  <c r="K33" i="16"/>
  <c r="K35" i="16"/>
  <c r="K38" i="16"/>
  <c r="K40" i="16"/>
  <c r="K101" i="16"/>
  <c r="K166" i="16"/>
  <c r="K42" i="16"/>
  <c r="K156" i="16"/>
  <c r="L160" i="5" l="1"/>
  <c r="N163" i="5"/>
  <c r="O163" i="5"/>
  <c r="Q164" i="5"/>
  <c r="O89" i="5"/>
  <c r="Q90" i="5"/>
  <c r="O151" i="5"/>
  <c r="Q151" i="5" s="1"/>
  <c r="Q152" i="5"/>
  <c r="L217" i="4"/>
  <c r="N217" i="4" s="1"/>
  <c r="L167" i="4"/>
  <c r="N167" i="4" s="1"/>
  <c r="L40" i="4"/>
  <c r="N40" i="4" s="1"/>
  <c r="K155" i="16"/>
  <c r="K154" i="16" s="1"/>
  <c r="K374" i="16" s="1"/>
  <c r="K32" i="16"/>
  <c r="K51" i="16"/>
  <c r="K69" i="16"/>
  <c r="K41" i="16"/>
  <c r="K339" i="16" s="1"/>
  <c r="K71" i="16"/>
  <c r="K366" i="16" s="1"/>
  <c r="K147" i="16"/>
  <c r="K165" i="16"/>
  <c r="K37" i="16"/>
  <c r="K61" i="16"/>
  <c r="K81" i="16"/>
  <c r="K160" i="16"/>
  <c r="K58" i="16"/>
  <c r="K92" i="16"/>
  <c r="K100" i="16"/>
  <c r="K364" i="16" s="1"/>
  <c r="K53" i="16"/>
  <c r="K64" i="16"/>
  <c r="K83" i="16"/>
  <c r="K48" i="16"/>
  <c r="K45" i="16"/>
  <c r="K72" i="16"/>
  <c r="O160" i="5" l="1"/>
  <c r="Q160" i="5" s="1"/>
  <c r="Q163" i="5"/>
  <c r="O88" i="5"/>
  <c r="Q89" i="5"/>
  <c r="L147" i="5"/>
  <c r="N160" i="5"/>
  <c r="K80" i="16"/>
  <c r="K44" i="16"/>
  <c r="K352" i="16" s="1"/>
  <c r="K50" i="16"/>
  <c r="K356" i="16" s="1"/>
  <c r="K91" i="16"/>
  <c r="K379" i="16" s="1"/>
  <c r="K159" i="16"/>
  <c r="K371" i="16" s="1"/>
  <c r="K146" i="16"/>
  <c r="K99" i="16"/>
  <c r="K98" i="16" s="1"/>
  <c r="K60" i="16"/>
  <c r="K359" i="16" s="1"/>
  <c r="K164" i="16"/>
  <c r="K358" i="16" s="1"/>
  <c r="K63" i="16"/>
  <c r="K360" i="16" s="1"/>
  <c r="K47" i="16"/>
  <c r="K353" i="16" s="1"/>
  <c r="K55" i="16"/>
  <c r="K357" i="16" s="1"/>
  <c r="O87" i="5" l="1"/>
  <c r="Q87" i="5" s="1"/>
  <c r="Q88" i="5"/>
  <c r="L146" i="5"/>
  <c r="N146" i="5" s="1"/>
  <c r="N147" i="5"/>
  <c r="K145" i="16"/>
  <c r="K349" i="16"/>
  <c r="K158" i="16"/>
  <c r="K163" i="16"/>
  <c r="K265" i="4" l="1"/>
  <c r="L223" i="16"/>
  <c r="L222" i="16" s="1"/>
  <c r="K162" i="16"/>
  <c r="K144" i="16"/>
  <c r="K97" i="16"/>
  <c r="K157" i="16"/>
  <c r="K86" i="16"/>
  <c r="K28" i="15"/>
  <c r="J28" i="15"/>
  <c r="L12" i="15"/>
  <c r="L11" i="15" s="1"/>
  <c r="K341" i="15"/>
  <c r="K339" i="15"/>
  <c r="K337" i="15"/>
  <c r="K333" i="15"/>
  <c r="K327" i="15"/>
  <c r="K326" i="15" s="1"/>
  <c r="K325" i="15" s="1"/>
  <c r="K306" i="15"/>
  <c r="K283" i="15"/>
  <c r="K278" i="15"/>
  <c r="K271" i="15"/>
  <c r="K269" i="15"/>
  <c r="K263" i="15"/>
  <c r="K261" i="15"/>
  <c r="K258" i="15"/>
  <c r="K256" i="15"/>
  <c r="K252" i="15"/>
  <c r="K249" i="15"/>
  <c r="K244" i="15"/>
  <c r="K240" i="15"/>
  <c r="K235" i="15"/>
  <c r="K232" i="15"/>
  <c r="K230" i="15"/>
  <c r="K228" i="15"/>
  <c r="K226" i="15"/>
  <c r="K223" i="15"/>
  <c r="K219" i="15"/>
  <c r="K215" i="15"/>
  <c r="K209" i="15"/>
  <c r="K203" i="15"/>
  <c r="K200" i="15"/>
  <c r="K197" i="15"/>
  <c r="K189" i="15"/>
  <c r="K187" i="15"/>
  <c r="K184" i="15"/>
  <c r="K178" i="15"/>
  <c r="K177" i="15" s="1"/>
  <c r="K175" i="15"/>
  <c r="K170" i="15"/>
  <c r="K168" i="15"/>
  <c r="K164" i="15"/>
  <c r="K160" i="15"/>
  <c r="K156" i="15"/>
  <c r="K151" i="15"/>
  <c r="K147" i="15"/>
  <c r="K144" i="15"/>
  <c r="K141" i="15"/>
  <c r="K138" i="15"/>
  <c r="K227" i="4" s="1"/>
  <c r="K135" i="15"/>
  <c r="K224" i="4" s="1"/>
  <c r="K132" i="15"/>
  <c r="K129" i="15"/>
  <c r="K185" i="4"/>
  <c r="K108" i="15"/>
  <c r="K107" i="15"/>
  <c r="K103" i="15" s="1"/>
  <c r="K101" i="15"/>
  <c r="K96" i="15"/>
  <c r="K93" i="15"/>
  <c r="K91" i="15"/>
  <c r="K87" i="15"/>
  <c r="K80" i="15"/>
  <c r="K77" i="15"/>
  <c r="K69" i="15"/>
  <c r="K67" i="15"/>
  <c r="K62" i="15"/>
  <c r="K60" i="15"/>
  <c r="K55" i="15"/>
  <c r="K52" i="15"/>
  <c r="K49" i="15"/>
  <c r="K44" i="15"/>
  <c r="K41" i="15"/>
  <c r="K38" i="15"/>
  <c r="K36" i="15"/>
  <c r="K32" i="15"/>
  <c r="K24" i="15"/>
  <c r="K23" i="15" s="1"/>
  <c r="K19" i="15"/>
  <c r="L19" i="15" s="1"/>
  <c r="N19" i="15" s="1"/>
  <c r="K17" i="15"/>
  <c r="K15" i="15"/>
  <c r="K12" i="15"/>
  <c r="K11" i="15" s="1"/>
  <c r="K27" i="15" l="1"/>
  <c r="L28" i="15"/>
  <c r="N28" i="15" s="1"/>
  <c r="K31" i="15"/>
  <c r="K40" i="15"/>
  <c r="K43" i="15"/>
  <c r="K46" i="15"/>
  <c r="K51" i="15"/>
  <c r="K54" i="15"/>
  <c r="K76" i="15"/>
  <c r="K86" i="15"/>
  <c r="K95" i="15"/>
  <c r="K100" i="15"/>
  <c r="K128" i="15"/>
  <c r="K131" i="15"/>
  <c r="K140" i="15"/>
  <c r="K143" i="15"/>
  <c r="K146" i="15"/>
  <c r="K150" i="15"/>
  <c r="K155" i="15"/>
  <c r="K159" i="15"/>
  <c r="K162" i="15"/>
  <c r="K285" i="4"/>
  <c r="K174" i="15"/>
  <c r="K173" i="15" s="1"/>
  <c r="K183" i="15"/>
  <c r="K186" i="15"/>
  <c r="K196" i="15"/>
  <c r="K199" i="15"/>
  <c r="K202" i="15"/>
  <c r="K208" i="15"/>
  <c r="K193" i="4"/>
  <c r="K210" i="4"/>
  <c r="K234" i="15"/>
  <c r="K239" i="15"/>
  <c r="K238" i="15" s="1"/>
  <c r="K243" i="15"/>
  <c r="K264" i="4"/>
  <c r="K251" i="15"/>
  <c r="K276" i="4"/>
  <c r="K281" i="4"/>
  <c r="L217" i="5"/>
  <c r="K277" i="15"/>
  <c r="K276" i="15" s="1"/>
  <c r="K282" i="15"/>
  <c r="K305" i="15"/>
  <c r="K310" i="15"/>
  <c r="K316" i="15"/>
  <c r="K315" i="15" s="1"/>
  <c r="K332" i="15"/>
  <c r="K331" i="15" s="1"/>
  <c r="N253" i="5"/>
  <c r="K263" i="4"/>
  <c r="K123" i="4"/>
  <c r="K208" i="4"/>
  <c r="K64" i="4"/>
  <c r="K206" i="4"/>
  <c r="K99" i="4"/>
  <c r="K26" i="4"/>
  <c r="L221" i="16"/>
  <c r="L220" i="16" s="1"/>
  <c r="L215" i="16" s="1"/>
  <c r="K260" i="15"/>
  <c r="L291" i="16"/>
  <c r="L293" i="16"/>
  <c r="K247" i="15"/>
  <c r="L241" i="16"/>
  <c r="L238" i="16" s="1"/>
  <c r="L237" i="16" s="1"/>
  <c r="K85" i="16"/>
  <c r="J27" i="15"/>
  <c r="K26" i="15"/>
  <c r="K90" i="15"/>
  <c r="L16" i="16"/>
  <c r="L13" i="16" s="1"/>
  <c r="K35" i="15"/>
  <c r="K59" i="15"/>
  <c r="K163" i="15"/>
  <c r="L39" i="16"/>
  <c r="L36" i="16" s="1"/>
  <c r="L338" i="16" s="1"/>
  <c r="K218" i="15"/>
  <c r="K167" i="15"/>
  <c r="L34" i="16"/>
  <c r="L31" i="16" s="1"/>
  <c r="L337" i="16" s="1"/>
  <c r="K212" i="15"/>
  <c r="K372" i="15"/>
  <c r="K192" i="15"/>
  <c r="K214" i="15"/>
  <c r="K134" i="15"/>
  <c r="K223" i="4" s="1"/>
  <c r="K137" i="15"/>
  <c r="K226" i="4" s="1"/>
  <c r="K79" i="15"/>
  <c r="L67" i="16"/>
  <c r="L66" i="16" s="1"/>
  <c r="L361" i="16" s="1"/>
  <c r="K222" i="15"/>
  <c r="M67" i="16"/>
  <c r="M66" i="16" s="1"/>
  <c r="K225" i="15"/>
  <c r="K14" i="15"/>
  <c r="K268" i="15"/>
  <c r="K66" i="15"/>
  <c r="K255" i="15"/>
  <c r="K336" i="15"/>
  <c r="K335" i="15" s="1"/>
  <c r="F88" i="2"/>
  <c r="C88" i="2"/>
  <c r="F95" i="2"/>
  <c r="C95" i="2"/>
  <c r="C94" i="2" s="1"/>
  <c r="C110" i="2"/>
  <c r="C112" i="2"/>
  <c r="C92" i="2"/>
  <c r="C90" i="2"/>
  <c r="F37" i="2"/>
  <c r="C37" i="2"/>
  <c r="C32" i="2" s="1"/>
  <c r="C73" i="2"/>
  <c r="C71" i="2"/>
  <c r="F66" i="2"/>
  <c r="C66" i="2"/>
  <c r="F59" i="2"/>
  <c r="C59" i="2"/>
  <c r="F50" i="2"/>
  <c r="C50" i="2"/>
  <c r="F24" i="2"/>
  <c r="C24" i="2"/>
  <c r="F62" i="2"/>
  <c r="C62" i="2"/>
  <c r="C53" i="2"/>
  <c r="C52" i="2" s="1"/>
  <c r="F49" i="2"/>
  <c r="C49" i="2"/>
  <c r="C48" i="2" s="1"/>
  <c r="F43" i="2"/>
  <c r="C43" i="2"/>
  <c r="C42" i="2" s="1"/>
  <c r="F40" i="2"/>
  <c r="C40" i="2"/>
  <c r="C39" i="2" s="1"/>
  <c r="F29" i="2"/>
  <c r="C29" i="2"/>
  <c r="C28" i="2" s="1"/>
  <c r="F26" i="2"/>
  <c r="C26" i="2"/>
  <c r="F21" i="2"/>
  <c r="C21" i="2"/>
  <c r="F15" i="2"/>
  <c r="C15" i="2"/>
  <c r="C14" i="2" s="1"/>
  <c r="F9" i="2"/>
  <c r="C9" i="2"/>
  <c r="C8" i="2" s="1"/>
  <c r="L25" i="5" l="1"/>
  <c r="N16" i="5"/>
  <c r="L214" i="5"/>
  <c r="N214" i="5" s="1"/>
  <c r="N217" i="5"/>
  <c r="L30" i="5"/>
  <c r="N30" i="5" s="1"/>
  <c r="K216" i="4"/>
  <c r="L9" i="16"/>
  <c r="L8" i="16" s="1"/>
  <c r="L168" i="16"/>
  <c r="L350" i="16"/>
  <c r="L383" i="16" s="1"/>
  <c r="L390" i="16" s="1"/>
  <c r="K72" i="15"/>
  <c r="L250" i="5"/>
  <c r="K330" i="15"/>
  <c r="K329" i="15" s="1"/>
  <c r="L27" i="15"/>
  <c r="N27" i="15" s="1"/>
  <c r="F8" i="2"/>
  <c r="F14" i="2"/>
  <c r="F28" i="2"/>
  <c r="F39" i="2"/>
  <c r="F42" i="2"/>
  <c r="F48" i="2"/>
  <c r="F53" i="2"/>
  <c r="K10" i="15"/>
  <c r="K30" i="15"/>
  <c r="K61" i="4"/>
  <c r="K60" i="4" s="1"/>
  <c r="K96" i="4"/>
  <c r="K85" i="15"/>
  <c r="K89" i="15"/>
  <c r="K120" i="4"/>
  <c r="K99" i="15"/>
  <c r="K149" i="15"/>
  <c r="K154" i="15"/>
  <c r="K158" i="15"/>
  <c r="K153" i="15" s="1"/>
  <c r="K284" i="4"/>
  <c r="K166" i="15"/>
  <c r="K172" i="15"/>
  <c r="K163" i="4"/>
  <c r="K211" i="15"/>
  <c r="K195" i="15" s="1"/>
  <c r="K192" i="4"/>
  <c r="K166" i="4" s="1"/>
  <c r="K262" i="4"/>
  <c r="K246" i="15"/>
  <c r="K378" i="15" s="1"/>
  <c r="K273" i="4"/>
  <c r="K278" i="4"/>
  <c r="K267" i="15"/>
  <c r="K281" i="15"/>
  <c r="K304" i="15"/>
  <c r="K299" i="15" s="1"/>
  <c r="K295" i="15" s="1"/>
  <c r="K309" i="15"/>
  <c r="K379" i="15"/>
  <c r="K380" i="15"/>
  <c r="K203" i="4"/>
  <c r="K65" i="15"/>
  <c r="K182" i="15"/>
  <c r="K34" i="15"/>
  <c r="K221" i="15"/>
  <c r="K23" i="4"/>
  <c r="K19" i="4"/>
  <c r="L288" i="16"/>
  <c r="K217" i="15"/>
  <c r="K127" i="15"/>
  <c r="K266" i="15"/>
  <c r="K254" i="15"/>
  <c r="J26" i="15"/>
  <c r="L26" i="15" s="1"/>
  <c r="N26" i="15" s="1"/>
  <c r="K58" i="15"/>
  <c r="F117" i="2"/>
  <c r="C58" i="2"/>
  <c r="C87" i="2"/>
  <c r="F58" i="2"/>
  <c r="C70" i="2"/>
  <c r="F32" i="2"/>
  <c r="C20" i="2"/>
  <c r="F20" i="2"/>
  <c r="N13" i="5" l="1"/>
  <c r="L9" i="5"/>
  <c r="L8" i="5" s="1"/>
  <c r="N25" i="5"/>
  <c r="L246" i="5"/>
  <c r="N250" i="5"/>
  <c r="L284" i="16"/>
  <c r="L275" i="16" s="1"/>
  <c r="L322" i="16"/>
  <c r="J339" i="17"/>
  <c r="J340" i="17" s="1"/>
  <c r="J388" i="15"/>
  <c r="K242" i="15"/>
  <c r="K71" i="15"/>
  <c r="F31" i="2"/>
  <c r="F52" i="2"/>
  <c r="K6" i="4"/>
  <c r="K9" i="15"/>
  <c r="K57" i="15"/>
  <c r="K64" i="15"/>
  <c r="K360" i="15" s="1"/>
  <c r="K95" i="4"/>
  <c r="K119" i="4"/>
  <c r="K101" i="4" s="1"/>
  <c r="K98" i="15"/>
  <c r="K116" i="15"/>
  <c r="K126" i="15"/>
  <c r="K215" i="4"/>
  <c r="K283" i="4"/>
  <c r="K366" i="15"/>
  <c r="K153" i="4"/>
  <c r="K199" i="4"/>
  <c r="K261" i="4"/>
  <c r="K280" i="15"/>
  <c r="K308" i="15"/>
  <c r="K181" i="15"/>
  <c r="L236" i="16"/>
  <c r="K237" i="15"/>
  <c r="K377" i="15"/>
  <c r="C31" i="2"/>
  <c r="C7" i="2" s="1"/>
  <c r="J336" i="17" s="1"/>
  <c r="N9" i="5" l="1"/>
  <c r="N8" i="5" s="1"/>
  <c r="L237" i="5"/>
  <c r="N246" i="5"/>
  <c r="L382" i="16"/>
  <c r="L380" i="16"/>
  <c r="K365" i="17"/>
  <c r="K377" i="17" s="1"/>
  <c r="F7" i="2"/>
  <c r="K265" i="15"/>
  <c r="K361" i="15"/>
  <c r="K8" i="15"/>
  <c r="K358" i="15"/>
  <c r="K94" i="4"/>
  <c r="K362" i="15"/>
  <c r="K371" i="17"/>
  <c r="K383" i="17" s="1"/>
  <c r="K272" i="4"/>
  <c r="K152" i="4"/>
  <c r="K363" i="15"/>
  <c r="K257" i="4"/>
  <c r="K365" i="15"/>
  <c r="K359" i="15"/>
  <c r="K364" i="15"/>
  <c r="K368" i="15"/>
  <c r="K180" i="15"/>
  <c r="J385" i="15"/>
  <c r="L167" i="16"/>
  <c r="L304" i="16" s="1"/>
  <c r="N237" i="5" l="1"/>
  <c r="N266" i="5" s="1"/>
  <c r="L266" i="5"/>
  <c r="K370" i="15"/>
  <c r="K367" i="17"/>
  <c r="K379" i="17" s="1"/>
  <c r="K368" i="17"/>
  <c r="K380" i="17" s="1"/>
  <c r="K370" i="17"/>
  <c r="K382" i="17" s="1"/>
  <c r="K245" i="4"/>
  <c r="K354" i="15"/>
  <c r="K321" i="4"/>
  <c r="K294" i="16"/>
  <c r="K292" i="16"/>
  <c r="K290" i="16"/>
  <c r="K271" i="16"/>
  <c r="K248" i="16"/>
  <c r="K244" i="16"/>
  <c r="K240" i="16"/>
  <c r="K235" i="16"/>
  <c r="K232" i="16"/>
  <c r="K140" i="16"/>
  <c r="K143" i="16"/>
  <c r="K135" i="16"/>
  <c r="K127" i="16"/>
  <c r="K124" i="16"/>
  <c r="K121" i="16"/>
  <c r="K118" i="16"/>
  <c r="K112" i="16"/>
  <c r="K109" i="16"/>
  <c r="K20" i="16"/>
  <c r="K21" i="16"/>
  <c r="K12" i="16"/>
  <c r="J250" i="15"/>
  <c r="K115" i="16"/>
  <c r="J248" i="15"/>
  <c r="J160" i="15"/>
  <c r="L160" i="15" s="1"/>
  <c r="N160" i="15" s="1"/>
  <c r="J213" i="15"/>
  <c r="K317" i="4" l="1"/>
  <c r="K243" i="16"/>
  <c r="M244" i="16"/>
  <c r="K319" i="4"/>
  <c r="E14" i="25"/>
  <c r="E13" i="25" s="1"/>
  <c r="E12" i="25" s="1"/>
  <c r="E11" i="25" s="1"/>
  <c r="K328" i="4"/>
  <c r="L213" i="15"/>
  <c r="N213" i="15" s="1"/>
  <c r="O226" i="16" s="1"/>
  <c r="O225" i="16" s="1"/>
  <c r="O224" i="16" s="1"/>
  <c r="O361" i="16" s="1"/>
  <c r="K202" i="5"/>
  <c r="K201" i="5" s="1"/>
  <c r="K200" i="5" s="1"/>
  <c r="L248" i="15"/>
  <c r="N248" i="15" s="1"/>
  <c r="O221" i="16" s="1"/>
  <c r="O220" i="16" s="1"/>
  <c r="K197" i="5"/>
  <c r="K196" i="5" s="1"/>
  <c r="L250" i="15"/>
  <c r="N250" i="15" s="1"/>
  <c r="O223" i="16" s="1"/>
  <c r="O222" i="16" s="1"/>
  <c r="K199" i="5"/>
  <c r="K198" i="5" s="1"/>
  <c r="K372" i="17"/>
  <c r="K384" i="17" s="1"/>
  <c r="K381" i="15"/>
  <c r="L393" i="16"/>
  <c r="K371" i="15"/>
  <c r="L306" i="16"/>
  <c r="L307" i="16" s="1"/>
  <c r="L297" i="5"/>
  <c r="L298" i="5" s="1"/>
  <c r="L268" i="5"/>
  <c r="L269" i="5" s="1"/>
  <c r="J265" i="4"/>
  <c r="J263" i="4"/>
  <c r="J191" i="4"/>
  <c r="K226" i="16"/>
  <c r="K221" i="16"/>
  <c r="K220" i="16" s="1"/>
  <c r="K223" i="16"/>
  <c r="K222" i="16" s="1"/>
  <c r="K114" i="16"/>
  <c r="K111" i="16"/>
  <c r="K117" i="16"/>
  <c r="K120" i="16"/>
  <c r="J159" i="15"/>
  <c r="J87" i="15"/>
  <c r="L87" i="15" s="1"/>
  <c r="N87" i="15" s="1"/>
  <c r="J25" i="15"/>
  <c r="J170" i="15"/>
  <c r="L170" i="15" s="1"/>
  <c r="N170" i="15" s="1"/>
  <c r="J138" i="15"/>
  <c r="L138" i="15" s="1"/>
  <c r="N138" i="15" s="1"/>
  <c r="J135" i="15"/>
  <c r="L135" i="15" s="1"/>
  <c r="N135" i="15" s="1"/>
  <c r="J132" i="15"/>
  <c r="L132" i="15" s="1"/>
  <c r="N132" i="15" s="1"/>
  <c r="J77" i="15"/>
  <c r="L77" i="15" s="1"/>
  <c r="N77" i="15" s="1"/>
  <c r="O215" i="16" l="1"/>
  <c r="L395" i="16"/>
  <c r="L381" i="16"/>
  <c r="M243" i="16"/>
  <c r="O244" i="16"/>
  <c r="O243" i="16" s="1"/>
  <c r="K330" i="4"/>
  <c r="K191" i="5"/>
  <c r="K147" i="5" s="1"/>
  <c r="K146" i="5" s="1"/>
  <c r="M221" i="16"/>
  <c r="M220" i="16" s="1"/>
  <c r="J158" i="15"/>
  <c r="L159" i="15"/>
  <c r="L25" i="15"/>
  <c r="K24" i="5"/>
  <c r="K23" i="5" s="1"/>
  <c r="K22" i="5" s="1"/>
  <c r="M223" i="16"/>
  <c r="M222" i="16" s="1"/>
  <c r="M226" i="16"/>
  <c r="M225" i="16" s="1"/>
  <c r="M224" i="16" s="1"/>
  <c r="M361" i="16" s="1"/>
  <c r="J190" i="4"/>
  <c r="L190" i="4" s="1"/>
  <c r="N190" i="4" s="1"/>
  <c r="L191" i="4"/>
  <c r="N191" i="4" s="1"/>
  <c r="J262" i="4"/>
  <c r="L262" i="4" s="1"/>
  <c r="N262" i="4" s="1"/>
  <c r="L263" i="4"/>
  <c r="N263" i="4" s="1"/>
  <c r="J264" i="4"/>
  <c r="L264" i="4" s="1"/>
  <c r="N264" i="4" s="1"/>
  <c r="L265" i="4"/>
  <c r="N265" i="4" s="1"/>
  <c r="L299" i="5"/>
  <c r="L300" i="5" s="1"/>
  <c r="L396" i="16"/>
  <c r="L397" i="16" s="1"/>
  <c r="K322" i="4"/>
  <c r="K320" i="4"/>
  <c r="J34" i="4"/>
  <c r="J227" i="4"/>
  <c r="L227" i="4" s="1"/>
  <c r="N227" i="4" s="1"/>
  <c r="J224" i="4"/>
  <c r="L224" i="4" s="1"/>
  <c r="N224" i="4" s="1"/>
  <c r="K215" i="16"/>
  <c r="K350" i="16" s="1"/>
  <c r="K110" i="16"/>
  <c r="K327" i="16" s="1"/>
  <c r="K119" i="16"/>
  <c r="K340" i="16" s="1"/>
  <c r="K113" i="16"/>
  <c r="K328" i="16" s="1"/>
  <c r="K116" i="16"/>
  <c r="K329" i="16" s="1"/>
  <c r="J76" i="15"/>
  <c r="J86" i="15"/>
  <c r="L86" i="15" s="1"/>
  <c r="J131" i="15"/>
  <c r="L131" i="15" s="1"/>
  <c r="J137" i="15"/>
  <c r="L137" i="15" s="1"/>
  <c r="J134" i="15"/>
  <c r="L134" i="15" s="1"/>
  <c r="K24" i="16"/>
  <c r="O198" i="5" l="1"/>
  <c r="Q198" i="5" s="1"/>
  <c r="Q199" i="5"/>
  <c r="O201" i="5"/>
  <c r="Q202" i="5"/>
  <c r="O196" i="5"/>
  <c r="Q196" i="5" s="1"/>
  <c r="Q197" i="5"/>
  <c r="N131" i="15"/>
  <c r="N134" i="15"/>
  <c r="N137" i="15"/>
  <c r="N25" i="15"/>
  <c r="L158" i="15"/>
  <c r="N159" i="15"/>
  <c r="N158" i="15" s="1"/>
  <c r="O350" i="16"/>
  <c r="O168" i="16"/>
  <c r="O167" i="16" s="1"/>
  <c r="L85" i="15"/>
  <c r="N86" i="15"/>
  <c r="N85" i="15" s="1"/>
  <c r="O24" i="16"/>
  <c r="O23" i="16" s="1"/>
  <c r="O22" i="16" s="1"/>
  <c r="O325" i="16" s="1"/>
  <c r="O384" i="16" s="1"/>
  <c r="L76" i="15"/>
  <c r="M215" i="16"/>
  <c r="M350" i="16" s="1"/>
  <c r="M24" i="16"/>
  <c r="M23" i="16" s="1"/>
  <c r="M22" i="16" s="1"/>
  <c r="M325" i="16" s="1"/>
  <c r="M384" i="16" s="1"/>
  <c r="O191" i="5"/>
  <c r="J33" i="4"/>
  <c r="L34" i="4"/>
  <c r="N34" i="4" s="1"/>
  <c r="J261" i="4"/>
  <c r="J223" i="4"/>
  <c r="J226" i="4"/>
  <c r="L226" i="4" s="1"/>
  <c r="N226" i="4" s="1"/>
  <c r="J85" i="15"/>
  <c r="O23" i="5" l="1"/>
  <c r="Q24" i="5"/>
  <c r="O200" i="5"/>
  <c r="Q200" i="5" s="1"/>
  <c r="Q201" i="5"/>
  <c r="Q191" i="5"/>
  <c r="N76" i="15"/>
  <c r="M168" i="16"/>
  <c r="M167" i="16" s="1"/>
  <c r="J216" i="4"/>
  <c r="L223" i="4"/>
  <c r="J32" i="4"/>
  <c r="L32" i="4" s="1"/>
  <c r="N32" i="4" s="1"/>
  <c r="L33" i="4"/>
  <c r="N33" i="4" s="1"/>
  <c r="J257" i="4"/>
  <c r="L257" i="4" s="1"/>
  <c r="N257" i="4" s="1"/>
  <c r="L261" i="4"/>
  <c r="N261" i="4" s="1"/>
  <c r="C13" i="38"/>
  <c r="O147" i="5" l="1"/>
  <c r="O22" i="5"/>
  <c r="Q22" i="5" s="1"/>
  <c r="Q23" i="5"/>
  <c r="L216" i="4"/>
  <c r="L215" i="4" s="1"/>
  <c r="N223" i="4"/>
  <c r="N216" i="4" s="1"/>
  <c r="N215" i="4" s="1"/>
  <c r="J215" i="4"/>
  <c r="K19" i="16"/>
  <c r="K15" i="16"/>
  <c r="J62" i="15"/>
  <c r="L62" i="15" s="1"/>
  <c r="N62" i="15" s="1"/>
  <c r="O146" i="5" l="1"/>
  <c r="Q146" i="5" s="1"/>
  <c r="Q147" i="5"/>
  <c r="J371" i="17"/>
  <c r="J383" i="17" s="1"/>
  <c r="K18" i="16"/>
  <c r="N371" i="17" l="1"/>
  <c r="N383" i="17" s="1"/>
  <c r="J60" i="15"/>
  <c r="L60" i="15" s="1"/>
  <c r="N60" i="15" s="1"/>
  <c r="J59" i="15" l="1"/>
  <c r="L59" i="15" s="1"/>
  <c r="N59" i="15" s="1"/>
  <c r="K90" i="16"/>
  <c r="M90" i="16" s="1"/>
  <c r="J101" i="15"/>
  <c r="L101" i="15" s="1"/>
  <c r="N101" i="15" s="1"/>
  <c r="O90" i="16" l="1"/>
  <c r="O89" i="16" s="1"/>
  <c r="O88" i="16" s="1"/>
  <c r="O377" i="16" s="1"/>
  <c r="M89" i="16"/>
  <c r="M88" i="16" s="1"/>
  <c r="M377" i="16" s="1"/>
  <c r="N58" i="15"/>
  <c r="N57" i="15" s="1"/>
  <c r="L58" i="15"/>
  <c r="L57" i="15" s="1"/>
  <c r="J58" i="15"/>
  <c r="J57" i="15" s="1"/>
  <c r="C118" i="2"/>
  <c r="K89" i="16"/>
  <c r="J100" i="15"/>
  <c r="J99" i="15" l="1"/>
  <c r="L100" i="15"/>
  <c r="L99" i="15" s="1"/>
  <c r="C117" i="2"/>
  <c r="G118" i="2"/>
  <c r="I118" i="2" s="1"/>
  <c r="N390" i="15" s="1"/>
  <c r="K88" i="16"/>
  <c r="K377" i="16" s="1"/>
  <c r="K287" i="16"/>
  <c r="J333" i="15"/>
  <c r="L333" i="15" s="1"/>
  <c r="N333" i="15" s="1"/>
  <c r="N100" i="15" l="1"/>
  <c r="N99" i="15" s="1"/>
  <c r="G117" i="2"/>
  <c r="L390" i="15"/>
  <c r="N341" i="17"/>
  <c r="N342" i="17" s="1"/>
  <c r="J332" i="15"/>
  <c r="L332" i="15" s="1"/>
  <c r="K286" i="16"/>
  <c r="L331" i="15" l="1"/>
  <c r="N332" i="15"/>
  <c r="N331" i="15" s="1"/>
  <c r="G114" i="2"/>
  <c r="I117" i="2"/>
  <c r="I114" i="2" s="1"/>
  <c r="I69" i="2" s="1"/>
  <c r="I68" i="2" s="1"/>
  <c r="I119" i="2" s="1"/>
  <c r="H10" i="25" s="1"/>
  <c r="H9" i="25" s="1"/>
  <c r="H8" i="25" s="1"/>
  <c r="H7" i="25" s="1"/>
  <c r="K285" i="16"/>
  <c r="K320" i="16" s="1"/>
  <c r="J331" i="15"/>
  <c r="K400" i="16"/>
  <c r="K302" i="16"/>
  <c r="K289" i="16"/>
  <c r="K279" i="16"/>
  <c r="K270" i="16"/>
  <c r="K247" i="16"/>
  <c r="K242" i="16"/>
  <c r="K239" i="16"/>
  <c r="K234" i="16"/>
  <c r="K231" i="16"/>
  <c r="K200" i="16"/>
  <c r="K174" i="16"/>
  <c r="K142" i="16"/>
  <c r="K139" i="16"/>
  <c r="K134" i="16"/>
  <c r="K126" i="16"/>
  <c r="K123" i="16"/>
  <c r="K108" i="16"/>
  <c r="K23" i="16"/>
  <c r="K17" i="16"/>
  <c r="K14" i="16"/>
  <c r="K11" i="16"/>
  <c r="J341" i="15"/>
  <c r="J339" i="15"/>
  <c r="J337" i="15"/>
  <c r="L337" i="15" s="1"/>
  <c r="N337" i="15" s="1"/>
  <c r="J327" i="15"/>
  <c r="L327" i="15" s="1"/>
  <c r="N327" i="15" s="1"/>
  <c r="J306" i="15"/>
  <c r="L306" i="15" s="1"/>
  <c r="N306" i="15" s="1"/>
  <c r="J283" i="15"/>
  <c r="L283" i="15" s="1"/>
  <c r="N283" i="15" s="1"/>
  <c r="J278" i="15"/>
  <c r="L278" i="15" s="1"/>
  <c r="N278" i="15" s="1"/>
  <c r="J271" i="15"/>
  <c r="J269" i="15"/>
  <c r="L269" i="15" s="1"/>
  <c r="N269" i="15" s="1"/>
  <c r="J263" i="15"/>
  <c r="J261" i="15"/>
  <c r="L261" i="15" s="1"/>
  <c r="N261" i="15" s="1"/>
  <c r="J258" i="15"/>
  <c r="J256" i="15"/>
  <c r="L256" i="15" s="1"/>
  <c r="N256" i="15" s="1"/>
  <c r="J252" i="15"/>
  <c r="L252" i="15" s="1"/>
  <c r="N252" i="15" s="1"/>
  <c r="J249" i="15"/>
  <c r="L249" i="15" s="1"/>
  <c r="N249" i="15" s="1"/>
  <c r="J247" i="15"/>
  <c r="L247" i="15" s="1"/>
  <c r="N247" i="15" s="1"/>
  <c r="J244" i="15"/>
  <c r="L244" i="15" s="1"/>
  <c r="N244" i="15" s="1"/>
  <c r="J240" i="15"/>
  <c r="L240" i="15" s="1"/>
  <c r="N240" i="15" s="1"/>
  <c r="J235" i="15"/>
  <c r="L235" i="15" s="1"/>
  <c r="N235" i="15" s="1"/>
  <c r="J232" i="15"/>
  <c r="J230" i="15"/>
  <c r="L230" i="15" s="1"/>
  <c r="N230" i="15" s="1"/>
  <c r="J228" i="15"/>
  <c r="L228" i="15" s="1"/>
  <c r="N228" i="15" s="1"/>
  <c r="J226" i="15"/>
  <c r="L226" i="15" s="1"/>
  <c r="N226" i="15" s="1"/>
  <c r="J223" i="15"/>
  <c r="L223" i="15" s="1"/>
  <c r="N223" i="15" s="1"/>
  <c r="J219" i="15"/>
  <c r="L219" i="15" s="1"/>
  <c r="N219" i="15" s="1"/>
  <c r="J215" i="15"/>
  <c r="J212" i="15"/>
  <c r="L212" i="15" s="1"/>
  <c r="N212" i="15" s="1"/>
  <c r="J209" i="15"/>
  <c r="L209" i="15" s="1"/>
  <c r="N209" i="15" s="1"/>
  <c r="J203" i="15"/>
  <c r="L203" i="15" s="1"/>
  <c r="N203" i="15" s="1"/>
  <c r="J200" i="15"/>
  <c r="L200" i="15" s="1"/>
  <c r="N200" i="15" s="1"/>
  <c r="J197" i="15"/>
  <c r="L197" i="15" s="1"/>
  <c r="N197" i="15" s="1"/>
  <c r="J193" i="15"/>
  <c r="J187" i="15"/>
  <c r="L187" i="15" s="1"/>
  <c r="N187" i="15" s="1"/>
  <c r="J184" i="15"/>
  <c r="L184" i="15" s="1"/>
  <c r="N184" i="15" s="1"/>
  <c r="J178" i="15"/>
  <c r="L178" i="15" s="1"/>
  <c r="N178" i="15" s="1"/>
  <c r="J175" i="15"/>
  <c r="L175" i="15" s="1"/>
  <c r="N175" i="15" s="1"/>
  <c r="J168" i="15"/>
  <c r="L168" i="15" s="1"/>
  <c r="N168" i="15" s="1"/>
  <c r="J164" i="15"/>
  <c r="L164" i="15" s="1"/>
  <c r="J156" i="15"/>
  <c r="L156" i="15" s="1"/>
  <c r="N156" i="15" s="1"/>
  <c r="J151" i="15"/>
  <c r="L151" i="15" s="1"/>
  <c r="N151" i="15" s="1"/>
  <c r="J147" i="15"/>
  <c r="L147" i="15" s="1"/>
  <c r="N147" i="15" s="1"/>
  <c r="J144" i="15"/>
  <c r="L144" i="15" s="1"/>
  <c r="N144" i="15" s="1"/>
  <c r="J141" i="15"/>
  <c r="L141" i="15" s="1"/>
  <c r="N141" i="15" s="1"/>
  <c r="J129" i="15"/>
  <c r="L129" i="15" s="1"/>
  <c r="N129" i="15" s="1"/>
  <c r="J124" i="15"/>
  <c r="L124" i="15" s="1"/>
  <c r="L121" i="15" s="1"/>
  <c r="L117" i="15" s="1"/>
  <c r="J108" i="15"/>
  <c r="L108" i="15" s="1"/>
  <c r="N108" i="15" s="1"/>
  <c r="J107" i="15"/>
  <c r="J103" i="15" s="1"/>
  <c r="J96" i="15"/>
  <c r="L96" i="15" s="1"/>
  <c r="N96" i="15" s="1"/>
  <c r="J93" i="15"/>
  <c r="L93" i="15" s="1"/>
  <c r="N93" i="15" s="1"/>
  <c r="J91" i="15"/>
  <c r="L91" i="15" s="1"/>
  <c r="N91" i="15" s="1"/>
  <c r="J80" i="15"/>
  <c r="L80" i="15" s="1"/>
  <c r="N80" i="15" s="1"/>
  <c r="J69" i="15"/>
  <c r="J67" i="15"/>
  <c r="L67" i="15" s="1"/>
  <c r="N67" i="15" s="1"/>
  <c r="J55" i="15"/>
  <c r="L55" i="15" s="1"/>
  <c r="N55" i="15" s="1"/>
  <c r="J52" i="15"/>
  <c r="L52" i="15" s="1"/>
  <c r="N52" i="15" s="1"/>
  <c r="J49" i="15"/>
  <c r="L49" i="15" s="1"/>
  <c r="N49" i="15" s="1"/>
  <c r="J44" i="15"/>
  <c r="J41" i="15"/>
  <c r="L41" i="15" s="1"/>
  <c r="N41" i="15" s="1"/>
  <c r="J38" i="15"/>
  <c r="J36" i="15"/>
  <c r="L36" i="15" s="1"/>
  <c r="N36" i="15" s="1"/>
  <c r="J32" i="15"/>
  <c r="L32" i="15" s="1"/>
  <c r="N32" i="15" s="1"/>
  <c r="J24" i="15"/>
  <c r="L24" i="15" s="1"/>
  <c r="N24" i="15" s="1"/>
  <c r="J17" i="15"/>
  <c r="J15" i="15"/>
  <c r="L15" i="15" s="1"/>
  <c r="N15" i="15" s="1"/>
  <c r="J12" i="15"/>
  <c r="G69" i="2" l="1"/>
  <c r="G68" i="2" s="1"/>
  <c r="N124" i="15"/>
  <c r="N121" i="15" s="1"/>
  <c r="N117" i="15" s="1"/>
  <c r="N116" i="15" s="1"/>
  <c r="L162" i="15"/>
  <c r="N164" i="15"/>
  <c r="N162" i="15" s="1"/>
  <c r="N356" i="15"/>
  <c r="O398" i="16"/>
  <c r="N323" i="4"/>
  <c r="N386" i="15"/>
  <c r="L107" i="15"/>
  <c r="L103" i="15" s="1"/>
  <c r="J43" i="15"/>
  <c r="L43" i="15" s="1"/>
  <c r="N43" i="15" s="1"/>
  <c r="L44" i="15"/>
  <c r="N44" i="15" s="1"/>
  <c r="K28" i="5"/>
  <c r="K25" i="5" s="1"/>
  <c r="L69" i="15"/>
  <c r="J164" i="4"/>
  <c r="L164" i="4" s="1"/>
  <c r="N164" i="4" s="1"/>
  <c r="L193" i="15"/>
  <c r="N193" i="15" s="1"/>
  <c r="J210" i="4"/>
  <c r="L210" i="4" s="1"/>
  <c r="N210" i="4" s="1"/>
  <c r="L232" i="15"/>
  <c r="N232" i="15" s="1"/>
  <c r="J276" i="4"/>
  <c r="L276" i="4" s="1"/>
  <c r="N276" i="4" s="1"/>
  <c r="L258" i="15"/>
  <c r="N258" i="15" s="1"/>
  <c r="K217" i="5"/>
  <c r="K214" i="5" s="1"/>
  <c r="K213" i="5" s="1"/>
  <c r="K212" i="5" s="1"/>
  <c r="L271" i="15"/>
  <c r="N271" i="15" s="1"/>
  <c r="O241" i="16" s="1"/>
  <c r="O238" i="16" s="1"/>
  <c r="O237" i="16" s="1"/>
  <c r="K253" i="5"/>
  <c r="L339" i="15"/>
  <c r="N339" i="15" s="1"/>
  <c r="O291" i="16" s="1"/>
  <c r="K255" i="5"/>
  <c r="L341" i="15"/>
  <c r="N341" i="15" s="1"/>
  <c r="O293" i="16" s="1"/>
  <c r="K16" i="5"/>
  <c r="K13" i="5" s="1"/>
  <c r="L17" i="15"/>
  <c r="J193" i="4"/>
  <c r="L193" i="4" s="1"/>
  <c r="N193" i="4" s="1"/>
  <c r="L215" i="15"/>
  <c r="N215" i="15" s="1"/>
  <c r="J281" i="4"/>
  <c r="L281" i="4" s="1"/>
  <c r="N281" i="4" s="1"/>
  <c r="L263" i="15"/>
  <c r="N263" i="15" s="1"/>
  <c r="K33" i="5"/>
  <c r="K30" i="5" s="1"/>
  <c r="L38" i="15"/>
  <c r="J273" i="4"/>
  <c r="L273" i="4" s="1"/>
  <c r="N273" i="4" s="1"/>
  <c r="J123" i="4"/>
  <c r="J206" i="4"/>
  <c r="L206" i="4" s="1"/>
  <c r="N206" i="4" s="1"/>
  <c r="J188" i="4"/>
  <c r="J208" i="4"/>
  <c r="L208" i="4" s="1"/>
  <c r="N208" i="4" s="1"/>
  <c r="J285" i="4"/>
  <c r="J26" i="4"/>
  <c r="L26" i="4" s="1"/>
  <c r="N26" i="4" s="1"/>
  <c r="J64" i="4"/>
  <c r="J99" i="4"/>
  <c r="K107" i="16"/>
  <c r="K326" i="16" s="1"/>
  <c r="K22" i="16"/>
  <c r="K325" i="16" s="1"/>
  <c r="K133" i="16"/>
  <c r="K335" i="16" s="1"/>
  <c r="K199" i="16"/>
  <c r="K301" i="16"/>
  <c r="K10" i="16"/>
  <c r="K138" i="16"/>
  <c r="K354" i="16" s="1"/>
  <c r="K205" i="16"/>
  <c r="K204" i="16" s="1"/>
  <c r="K344" i="16" s="1"/>
  <c r="K230" i="16"/>
  <c r="K373" i="16" s="1"/>
  <c r="K233" i="16"/>
  <c r="K376" i="16" s="1"/>
  <c r="K122" i="16"/>
  <c r="K362" i="16" s="1"/>
  <c r="K141" i="16"/>
  <c r="K355" i="16" s="1"/>
  <c r="K246" i="16"/>
  <c r="K125" i="16"/>
  <c r="K363" i="16" s="1"/>
  <c r="K173" i="16"/>
  <c r="K269" i="16"/>
  <c r="K375" i="16" s="1"/>
  <c r="K278" i="16"/>
  <c r="K225" i="16"/>
  <c r="J326" i="15"/>
  <c r="J46" i="15"/>
  <c r="L46" i="15" s="1"/>
  <c r="N46" i="15" s="1"/>
  <c r="J155" i="15"/>
  <c r="L155" i="15" s="1"/>
  <c r="J174" i="15"/>
  <c r="L174" i="15" s="1"/>
  <c r="N174" i="15" s="1"/>
  <c r="K241" i="16"/>
  <c r="K238" i="16" s="1"/>
  <c r="J234" i="15"/>
  <c r="L234" i="15" s="1"/>
  <c r="N234" i="15" s="1"/>
  <c r="J310" i="15"/>
  <c r="L310" i="15" s="1"/>
  <c r="K291" i="16"/>
  <c r="J146" i="15"/>
  <c r="L146" i="15" s="1"/>
  <c r="J218" i="15"/>
  <c r="J251" i="15"/>
  <c r="L251" i="15" s="1"/>
  <c r="N251" i="15" s="1"/>
  <c r="J277" i="15"/>
  <c r="J316" i="15"/>
  <c r="L316" i="15" s="1"/>
  <c r="K293" i="16"/>
  <c r="J23" i="15"/>
  <c r="L23" i="15" s="1"/>
  <c r="N23" i="15" s="1"/>
  <c r="J40" i="15"/>
  <c r="L40" i="15" s="1"/>
  <c r="N40" i="15" s="1"/>
  <c r="J143" i="15"/>
  <c r="L143" i="15" s="1"/>
  <c r="J192" i="15"/>
  <c r="J214" i="15"/>
  <c r="J11" i="15"/>
  <c r="J31" i="15"/>
  <c r="L31" i="15" s="1"/>
  <c r="J54" i="15"/>
  <c r="L54" i="15" s="1"/>
  <c r="N54" i="15" s="1"/>
  <c r="J95" i="15"/>
  <c r="L95" i="15" s="1"/>
  <c r="N95" i="15" s="1"/>
  <c r="J163" i="15"/>
  <c r="L163" i="15" s="1"/>
  <c r="N163" i="15" s="1"/>
  <c r="J183" i="15"/>
  <c r="L183" i="15" s="1"/>
  <c r="N183" i="15" s="1"/>
  <c r="J196" i="15"/>
  <c r="J208" i="15"/>
  <c r="L208" i="15" s="1"/>
  <c r="N208" i="15" s="1"/>
  <c r="J239" i="15"/>
  <c r="L239" i="15" s="1"/>
  <c r="J128" i="15"/>
  <c r="L128" i="15" s="1"/>
  <c r="N128" i="15" s="1"/>
  <c r="J150" i="15"/>
  <c r="L150" i="15" s="1"/>
  <c r="J186" i="15"/>
  <c r="L186" i="15" s="1"/>
  <c r="N186" i="15" s="1"/>
  <c r="J199" i="15"/>
  <c r="L199" i="15" s="1"/>
  <c r="N199" i="15" s="1"/>
  <c r="J222" i="15"/>
  <c r="L222" i="15" s="1"/>
  <c r="N222" i="15" s="1"/>
  <c r="J243" i="15"/>
  <c r="L243" i="15" s="1"/>
  <c r="N243" i="15" s="1"/>
  <c r="J282" i="15"/>
  <c r="L282" i="15" s="1"/>
  <c r="J140" i="15"/>
  <c r="L140" i="15" s="1"/>
  <c r="J202" i="15"/>
  <c r="L202" i="15" s="1"/>
  <c r="N202" i="15" s="1"/>
  <c r="J211" i="15"/>
  <c r="L211" i="15" s="1"/>
  <c r="N211" i="15" s="1"/>
  <c r="J305" i="15"/>
  <c r="L305" i="15" s="1"/>
  <c r="J177" i="15"/>
  <c r="J98" i="15"/>
  <c r="J79" i="15"/>
  <c r="J72" i="15" s="1"/>
  <c r="K67" i="16"/>
  <c r="J225" i="15"/>
  <c r="L225" i="15" s="1"/>
  <c r="N225" i="15" s="1"/>
  <c r="K34" i="16"/>
  <c r="K39" i="16"/>
  <c r="J66" i="15"/>
  <c r="J260" i="15"/>
  <c r="L260" i="15" s="1"/>
  <c r="J336" i="15"/>
  <c r="L336" i="15" s="1"/>
  <c r="J246" i="15"/>
  <c r="L246" i="15" s="1"/>
  <c r="N246" i="15" s="1"/>
  <c r="K16" i="16"/>
  <c r="J255" i="15"/>
  <c r="L255" i="15" s="1"/>
  <c r="J14" i="15"/>
  <c r="L14" i="15" s="1"/>
  <c r="N14" i="15" s="1"/>
  <c r="N10" i="15" s="1"/>
  <c r="J35" i="15"/>
  <c r="L35" i="15" s="1"/>
  <c r="N35" i="15" s="1"/>
  <c r="J90" i="15"/>
  <c r="L90" i="15" s="1"/>
  <c r="J167" i="15"/>
  <c r="L167" i="15" s="1"/>
  <c r="K406" i="16"/>
  <c r="K409" i="16"/>
  <c r="K405" i="16"/>
  <c r="J268" i="15"/>
  <c r="L268" i="15" s="1"/>
  <c r="J51" i="15"/>
  <c r="L51" i="15" s="1"/>
  <c r="N51" i="15" s="1"/>
  <c r="J162" i="15"/>
  <c r="J190" i="15"/>
  <c r="L190" i="15" s="1"/>
  <c r="N190" i="15" s="1"/>
  <c r="K237" i="16" l="1"/>
  <c r="O236" i="16"/>
  <c r="N221" i="15"/>
  <c r="N143" i="15"/>
  <c r="N69" i="15"/>
  <c r="O34" i="16" s="1"/>
  <c r="O31" i="16" s="1"/>
  <c r="O337" i="16" s="1"/>
  <c r="N146" i="15"/>
  <c r="N17" i="15"/>
  <c r="O16" i="16" s="1"/>
  <c r="O13" i="16" s="1"/>
  <c r="N38" i="15"/>
  <c r="O39" i="16" s="1"/>
  <c r="O36" i="16" s="1"/>
  <c r="O338" i="16" s="1"/>
  <c r="O383" i="16" s="1"/>
  <c r="O390" i="16" s="1"/>
  <c r="N140" i="15"/>
  <c r="L335" i="15"/>
  <c r="L330" i="15" s="1"/>
  <c r="L329" i="15" s="1"/>
  <c r="N336" i="15"/>
  <c r="N335" i="15" s="1"/>
  <c r="N330" i="15" s="1"/>
  <c r="N329" i="15" s="1"/>
  <c r="L267" i="15"/>
  <c r="N268" i="15"/>
  <c r="N267" i="15" s="1"/>
  <c r="L166" i="15"/>
  <c r="N167" i="15"/>
  <c r="N166" i="15" s="1"/>
  <c r="L254" i="15"/>
  <c r="N255" i="15"/>
  <c r="N260" i="15"/>
  <c r="L238" i="15"/>
  <c r="N239" i="15"/>
  <c r="N238" i="15" s="1"/>
  <c r="L304" i="15"/>
  <c r="L299" i="15" s="1"/>
  <c r="N305" i="15"/>
  <c r="N304" i="15" s="1"/>
  <c r="N299" i="15" s="1"/>
  <c r="L309" i="15"/>
  <c r="N310" i="15"/>
  <c r="N309" i="15" s="1"/>
  <c r="O288" i="16"/>
  <c r="O284" i="16" s="1"/>
  <c r="O275" i="16" s="1"/>
  <c r="N34" i="15"/>
  <c r="N242" i="15"/>
  <c r="L196" i="15"/>
  <c r="J195" i="15"/>
  <c r="N316" i="15"/>
  <c r="K319" i="16"/>
  <c r="L89" i="15"/>
  <c r="N90" i="15"/>
  <c r="N89" i="15" s="1"/>
  <c r="L154" i="15"/>
  <c r="N155" i="15"/>
  <c r="N154" i="15" s="1"/>
  <c r="L149" i="15"/>
  <c r="N150" i="15"/>
  <c r="N149" i="15" s="1"/>
  <c r="N127" i="15"/>
  <c r="L98" i="15"/>
  <c r="N107" i="15"/>
  <c r="N103" i="15" s="1"/>
  <c r="L30" i="15"/>
  <c r="N31" i="15"/>
  <c r="N30" i="15" s="1"/>
  <c r="K295" i="16"/>
  <c r="K324" i="16"/>
  <c r="K384" i="16" s="1"/>
  <c r="L281" i="15"/>
  <c r="L280" i="15" s="1"/>
  <c r="L359" i="15" s="1"/>
  <c r="N282" i="15"/>
  <c r="K106" i="16"/>
  <c r="J278" i="4"/>
  <c r="L278" i="4" s="1"/>
  <c r="N278" i="4" s="1"/>
  <c r="L116" i="15"/>
  <c r="L221" i="15"/>
  <c r="L127" i="15"/>
  <c r="M16" i="16"/>
  <c r="M13" i="16" s="1"/>
  <c r="O253" i="5"/>
  <c r="Q253" i="5" s="1"/>
  <c r="M291" i="16"/>
  <c r="J380" i="15"/>
  <c r="L177" i="15"/>
  <c r="J276" i="15"/>
  <c r="L277" i="15"/>
  <c r="M39" i="16"/>
  <c r="M36" i="16" s="1"/>
  <c r="M338" i="16" s="1"/>
  <c r="M383" i="16" s="1"/>
  <c r="M390" i="16" s="1"/>
  <c r="K9" i="5"/>
  <c r="K8" i="5" s="1"/>
  <c r="K250" i="5"/>
  <c r="K246" i="5" s="1"/>
  <c r="K237" i="5" s="1"/>
  <c r="J65" i="15"/>
  <c r="L66" i="15"/>
  <c r="J192" i="4"/>
  <c r="L192" i="4" s="1"/>
  <c r="N192" i="4" s="1"/>
  <c r="L214" i="15"/>
  <c r="N214" i="15" s="1"/>
  <c r="L10" i="15"/>
  <c r="L153" i="15"/>
  <c r="O255" i="5"/>
  <c r="Q255" i="5" s="1"/>
  <c r="M293" i="16"/>
  <c r="O217" i="5"/>
  <c r="M241" i="16"/>
  <c r="M238" i="16" s="1"/>
  <c r="M237" i="16" s="1"/>
  <c r="M34" i="16"/>
  <c r="M31" i="16" s="1"/>
  <c r="M337" i="16" s="1"/>
  <c r="L242" i="15"/>
  <c r="L237" i="15" s="1"/>
  <c r="J163" i="4"/>
  <c r="J153" i="4" s="1"/>
  <c r="L192" i="15"/>
  <c r="J217" i="15"/>
  <c r="L218" i="15"/>
  <c r="J284" i="4"/>
  <c r="L285" i="4"/>
  <c r="N285" i="4" s="1"/>
  <c r="J120" i="4"/>
  <c r="L123" i="4"/>
  <c r="N123" i="4" s="1"/>
  <c r="J96" i="4"/>
  <c r="L99" i="4"/>
  <c r="N99" i="4" s="1"/>
  <c r="J61" i="4"/>
  <c r="L64" i="4"/>
  <c r="N64" i="4" s="1"/>
  <c r="J185" i="4"/>
  <c r="L188" i="4"/>
  <c r="N188" i="4" s="1"/>
  <c r="L79" i="15"/>
  <c r="L34" i="15"/>
  <c r="L9" i="15" s="1"/>
  <c r="J325" i="15"/>
  <c r="L325" i="15" s="1"/>
  <c r="L321" i="15" s="1"/>
  <c r="L315" i="15" s="1"/>
  <c r="L326" i="15"/>
  <c r="N326" i="15" s="1"/>
  <c r="J379" i="15"/>
  <c r="J173" i="15"/>
  <c r="L173" i="15" s="1"/>
  <c r="N173" i="15" s="1"/>
  <c r="J203" i="4"/>
  <c r="J23" i="4"/>
  <c r="L23" i="4" s="1"/>
  <c r="N23" i="4" s="1"/>
  <c r="J19" i="4"/>
  <c r="J221" i="15"/>
  <c r="K137" i="16"/>
  <c r="K136" i="16" s="1"/>
  <c r="K31" i="16"/>
  <c r="K337" i="16" s="1"/>
  <c r="K172" i="16"/>
  <c r="K330" i="16" s="1"/>
  <c r="K198" i="16"/>
  <c r="K342" i="16" s="1"/>
  <c r="K13" i="16"/>
  <c r="K36" i="16"/>
  <c r="K338" i="16" s="1"/>
  <c r="K277" i="16"/>
  <c r="K132" i="16"/>
  <c r="K224" i="16"/>
  <c r="K66" i="16"/>
  <c r="J154" i="15"/>
  <c r="J10" i="15"/>
  <c r="K288" i="16"/>
  <c r="C115" i="2"/>
  <c r="J341" i="17" s="1"/>
  <c r="J342" i="17" s="1"/>
  <c r="J315" i="15"/>
  <c r="J309" i="15"/>
  <c r="J304" i="15"/>
  <c r="J299" i="15" s="1"/>
  <c r="J295" i="15" s="1"/>
  <c r="J189" i="15"/>
  <c r="J127" i="15"/>
  <c r="J281" i="15"/>
  <c r="J149" i="15"/>
  <c r="J238" i="15"/>
  <c r="J30" i="15"/>
  <c r="J267" i="15"/>
  <c r="J335" i="15"/>
  <c r="J330" i="15" s="1"/>
  <c r="J166" i="15"/>
  <c r="J89" i="15"/>
  <c r="J242" i="15"/>
  <c r="J362" i="15"/>
  <c r="J34" i="15"/>
  <c r="J254" i="15"/>
  <c r="K9" i="16" l="1"/>
  <c r="O214" i="5"/>
  <c r="Q214" i="5" s="1"/>
  <c r="Q217" i="5"/>
  <c r="O30" i="5"/>
  <c r="Q30" i="5" s="1"/>
  <c r="Q33" i="5"/>
  <c r="O13" i="5"/>
  <c r="O25" i="5"/>
  <c r="Q25" i="5" s="1"/>
  <c r="M9" i="16"/>
  <c r="M8" i="16" s="1"/>
  <c r="O9" i="16"/>
  <c r="O8" i="16" s="1"/>
  <c r="O304" i="16" s="1"/>
  <c r="N321" i="4" s="1"/>
  <c r="M236" i="16"/>
  <c r="K383" i="16"/>
  <c r="K390" i="16" s="1"/>
  <c r="K361" i="16"/>
  <c r="N9" i="15"/>
  <c r="N98" i="15"/>
  <c r="J166" i="4"/>
  <c r="N153" i="15"/>
  <c r="L308" i="15"/>
  <c r="L368" i="15" s="1"/>
  <c r="L126" i="15"/>
  <c r="L364" i="15" s="1"/>
  <c r="O322" i="16"/>
  <c r="O382" i="16" s="1"/>
  <c r="L380" i="15"/>
  <c r="L391" i="15" s="1"/>
  <c r="N177" i="15"/>
  <c r="N380" i="15" s="1"/>
  <c r="N391" i="15" s="1"/>
  <c r="L379" i="15"/>
  <c r="N192" i="15"/>
  <c r="L372" i="15"/>
  <c r="N325" i="15"/>
  <c r="L276" i="15"/>
  <c r="L266" i="15" s="1"/>
  <c r="N277" i="15"/>
  <c r="N276" i="15" s="1"/>
  <c r="N266" i="15" s="1"/>
  <c r="N196" i="15"/>
  <c r="N195" i="15" s="1"/>
  <c r="L195" i="15"/>
  <c r="L217" i="15"/>
  <c r="N218" i="15"/>
  <c r="N217" i="15" s="1"/>
  <c r="N254" i="15"/>
  <c r="N237" i="15" s="1"/>
  <c r="N79" i="15"/>
  <c r="L72" i="15"/>
  <c r="L71" i="15" s="1"/>
  <c r="N126" i="15"/>
  <c r="L65" i="15"/>
  <c r="L64" i="15" s="1"/>
  <c r="L360" i="15" s="1"/>
  <c r="N66" i="15"/>
  <c r="N65" i="15" s="1"/>
  <c r="N64" i="15" s="1"/>
  <c r="K284" i="16"/>
  <c r="K322" i="16"/>
  <c r="K276" i="16"/>
  <c r="K323" i="16"/>
  <c r="K168" i="16"/>
  <c r="N281" i="15"/>
  <c r="N280" i="15" s="1"/>
  <c r="J172" i="15"/>
  <c r="L172" i="15" s="1"/>
  <c r="N172" i="15" s="1"/>
  <c r="L185" i="4"/>
  <c r="L362" i="15"/>
  <c r="J372" i="15"/>
  <c r="K266" i="5"/>
  <c r="M288" i="16"/>
  <c r="J378" i="15"/>
  <c r="J389" i="15" s="1"/>
  <c r="L189" i="15"/>
  <c r="N189" i="15" s="1"/>
  <c r="N182" i="15" s="1"/>
  <c r="L163" i="4"/>
  <c r="L365" i="15"/>
  <c r="O250" i="5"/>
  <c r="J119" i="4"/>
  <c r="L120" i="4"/>
  <c r="N120" i="4" s="1"/>
  <c r="J199" i="4"/>
  <c r="L199" i="4" s="1"/>
  <c r="N199" i="4" s="1"/>
  <c r="L203" i="4"/>
  <c r="N203" i="4" s="1"/>
  <c r="L19" i="4"/>
  <c r="N19" i="4" s="1"/>
  <c r="J60" i="4"/>
  <c r="L60" i="4" s="1"/>
  <c r="N60" i="4" s="1"/>
  <c r="L61" i="4"/>
  <c r="N61" i="4" s="1"/>
  <c r="J95" i="4"/>
  <c r="L96" i="4"/>
  <c r="N96" i="4" s="1"/>
  <c r="J283" i="4"/>
  <c r="L284" i="4"/>
  <c r="N284" i="4" s="1"/>
  <c r="C114" i="2"/>
  <c r="J390" i="15"/>
  <c r="J391" i="15" s="1"/>
  <c r="J182" i="15"/>
  <c r="K105" i="16"/>
  <c r="J266" i="15"/>
  <c r="J329" i="15"/>
  <c r="K131" i="16"/>
  <c r="J71" i="15"/>
  <c r="K431" i="17"/>
  <c r="J126" i="15"/>
  <c r="J308" i="15"/>
  <c r="J64" i="15"/>
  <c r="J280" i="15"/>
  <c r="J237" i="15"/>
  <c r="J153" i="15"/>
  <c r="J116" i="15"/>
  <c r="J9" i="15"/>
  <c r="O9" i="5" l="1"/>
  <c r="O8" i="5" s="1"/>
  <c r="Q13" i="5"/>
  <c r="Q9" i="5" s="1"/>
  <c r="Q8" i="5" s="1"/>
  <c r="O246" i="5"/>
  <c r="Q250" i="5"/>
  <c r="L265" i="15"/>
  <c r="N181" i="15"/>
  <c r="O380" i="16"/>
  <c r="L358" i="15"/>
  <c r="N372" i="15"/>
  <c r="N373" i="15" s="1"/>
  <c r="N321" i="15"/>
  <c r="N315" i="15" s="1"/>
  <c r="N308" i="15" s="1"/>
  <c r="N265" i="15" s="1"/>
  <c r="N379" i="15"/>
  <c r="J366" i="15"/>
  <c r="N362" i="15"/>
  <c r="N378" i="15"/>
  <c r="N389" i="15" s="1"/>
  <c r="O399" i="16"/>
  <c r="O401" i="16"/>
  <c r="N365" i="15"/>
  <c r="N358" i="15"/>
  <c r="J377" i="15"/>
  <c r="N180" i="15"/>
  <c r="N363" i="15"/>
  <c r="N366" i="15"/>
  <c r="L366" i="15"/>
  <c r="N368" i="15"/>
  <c r="N364" i="15"/>
  <c r="N72" i="15"/>
  <c r="N71" i="15" s="1"/>
  <c r="M284" i="16"/>
  <c r="M275" i="16" s="1"/>
  <c r="M304" i="16" s="1"/>
  <c r="M322" i="16"/>
  <c r="K380" i="16"/>
  <c r="K382" i="16"/>
  <c r="N360" i="15"/>
  <c r="K275" i="16"/>
  <c r="N6" i="4"/>
  <c r="L153" i="4"/>
  <c r="N163" i="4"/>
  <c r="N153" i="4" s="1"/>
  <c r="L166" i="4"/>
  <c r="N185" i="4"/>
  <c r="N166" i="4" s="1"/>
  <c r="N359" i="15"/>
  <c r="J265" i="15"/>
  <c r="C69" i="2"/>
  <c r="C68" i="2" s="1"/>
  <c r="C119" i="2" s="1"/>
  <c r="L8" i="15"/>
  <c r="L361" i="15"/>
  <c r="J152" i="4"/>
  <c r="L378" i="15"/>
  <c r="L377" i="15" s="1"/>
  <c r="L182" i="15"/>
  <c r="L181" i="15" s="1"/>
  <c r="J94" i="4"/>
  <c r="L95" i="4"/>
  <c r="N95" i="4" s="1"/>
  <c r="J6" i="4"/>
  <c r="J101" i="4"/>
  <c r="L119" i="4"/>
  <c r="J272" i="4"/>
  <c r="L283" i="4"/>
  <c r="N283" i="4" s="1"/>
  <c r="L6" i="4"/>
  <c r="J361" i="15"/>
  <c r="J181" i="15"/>
  <c r="J363" i="15" s="1"/>
  <c r="K8" i="16"/>
  <c r="J365" i="15"/>
  <c r="J360" i="15"/>
  <c r="J368" i="15"/>
  <c r="J364" i="15"/>
  <c r="J359" i="15"/>
  <c r="J8" i="15"/>
  <c r="J358" i="15"/>
  <c r="O237" i="5" l="1"/>
  <c r="Q246" i="5"/>
  <c r="J365" i="17"/>
  <c r="J377" i="17" s="1"/>
  <c r="J370" i="17"/>
  <c r="J382" i="17" s="1"/>
  <c r="N377" i="15"/>
  <c r="L152" i="4"/>
  <c r="N119" i="4"/>
  <c r="N101" i="4" s="1"/>
  <c r="L101" i="4"/>
  <c r="N361" i="15"/>
  <c r="N8" i="15"/>
  <c r="N354" i="15" s="1"/>
  <c r="H14" i="25" s="1"/>
  <c r="H13" i="25" s="1"/>
  <c r="H12" i="25" s="1"/>
  <c r="H11" i="25" s="1"/>
  <c r="H6" i="25" s="1"/>
  <c r="H15" i="25" s="1"/>
  <c r="L303" i="5" s="1"/>
  <c r="N152" i="4"/>
  <c r="N370" i="15"/>
  <c r="M382" i="16"/>
  <c r="M380" i="16"/>
  <c r="L321" i="4"/>
  <c r="K398" i="16"/>
  <c r="J337" i="17"/>
  <c r="J386" i="15"/>
  <c r="J307" i="17"/>
  <c r="J306" i="17" s="1"/>
  <c r="J323" i="4"/>
  <c r="J356" i="15"/>
  <c r="J396" i="17"/>
  <c r="D10" i="25"/>
  <c r="D9" i="25" s="1"/>
  <c r="L180" i="15"/>
  <c r="L354" i="15" s="1"/>
  <c r="L363" i="15"/>
  <c r="L370" i="15" s="1"/>
  <c r="J368" i="17"/>
  <c r="J380" i="17" s="1"/>
  <c r="N365" i="17"/>
  <c r="N377" i="17" s="1"/>
  <c r="J245" i="4"/>
  <c r="L272" i="4"/>
  <c r="N272" i="4" s="1"/>
  <c r="J367" i="17"/>
  <c r="J379" i="17" s="1"/>
  <c r="L94" i="4"/>
  <c r="J180" i="15"/>
  <c r="J354" i="15" s="1"/>
  <c r="K167" i="16"/>
  <c r="J370" i="15"/>
  <c r="Q237" i="5" l="1"/>
  <c r="Q266" i="5" s="1"/>
  <c r="O266" i="5"/>
  <c r="N370" i="17"/>
  <c r="N382" i="17" s="1"/>
  <c r="N94" i="4"/>
  <c r="N319" i="4"/>
  <c r="O306" i="16"/>
  <c r="O307" i="16" s="1"/>
  <c r="N355" i="15"/>
  <c r="N371" i="15"/>
  <c r="O393" i="16"/>
  <c r="O381" i="16" s="1"/>
  <c r="N381" i="15"/>
  <c r="N328" i="4"/>
  <c r="L400" i="16"/>
  <c r="K268" i="5"/>
  <c r="K269" i="5" s="1"/>
  <c r="J328" i="4"/>
  <c r="F14" i="25"/>
  <c r="F13" i="25" s="1"/>
  <c r="F12" i="25" s="1"/>
  <c r="F11" i="25" s="1"/>
  <c r="L328" i="4"/>
  <c r="L319" i="4"/>
  <c r="O268" i="5"/>
  <c r="L381" i="15"/>
  <c r="O297" i="5"/>
  <c r="L371" i="15"/>
  <c r="M393" i="16"/>
  <c r="M395" i="16" s="1"/>
  <c r="M306" i="16"/>
  <c r="M307" i="16" s="1"/>
  <c r="N367" i="17"/>
  <c r="N379" i="17" s="1"/>
  <c r="J372" i="17"/>
  <c r="J384" i="17" s="1"/>
  <c r="L245" i="4"/>
  <c r="J317" i="4"/>
  <c r="N368" i="17"/>
  <c r="N380" i="17" s="1"/>
  <c r="J355" i="15"/>
  <c r="J381" i="15"/>
  <c r="J319" i="4"/>
  <c r="K306" i="16"/>
  <c r="K236" i="16"/>
  <c r="K393" i="16"/>
  <c r="K381" i="16" s="1"/>
  <c r="D14" i="25"/>
  <c r="J371" i="15"/>
  <c r="O269" i="5" l="1"/>
  <c r="O298" i="5"/>
  <c r="O395" i="16"/>
  <c r="M381" i="16"/>
  <c r="L317" i="4"/>
  <c r="N245" i="4"/>
  <c r="N317" i="4" s="1"/>
  <c r="J324" i="4"/>
  <c r="J330" i="4"/>
  <c r="N372" i="17"/>
  <c r="N384" i="17" s="1"/>
  <c r="K396" i="16"/>
  <c r="J320" i="4"/>
  <c r="K304" i="16"/>
  <c r="N324" i="4" l="1"/>
  <c r="O396" i="16"/>
  <c r="O397" i="16" s="1"/>
  <c r="N322" i="4"/>
  <c r="N320" i="4"/>
  <c r="N330" i="4"/>
  <c r="J321" i="4"/>
  <c r="J322" i="4" s="1"/>
  <c r="L330" i="4"/>
  <c r="L322" i="4"/>
  <c r="L320" i="4"/>
  <c r="O299" i="5"/>
  <c r="O300" i="5" s="1"/>
  <c r="M396" i="16"/>
  <c r="M397" i="16" s="1"/>
  <c r="K399" i="16"/>
  <c r="K401" i="16"/>
  <c r="K307" i="16"/>
  <c r="K397" i="16"/>
  <c r="K395" i="16"/>
  <c r="D8" i="8" l="1"/>
  <c r="C8" i="8" l="1"/>
  <c r="C9" i="19"/>
  <c r="D13" i="26" l="1"/>
  <c r="D12" i="26" s="1"/>
  <c r="D11" i="26" s="1"/>
  <c r="G13" i="26" l="1"/>
  <c r="G12" i="26" s="1"/>
  <c r="G11" i="26" s="1"/>
  <c r="F115" i="2" l="1"/>
  <c r="F112" i="2"/>
  <c r="F110" i="2"/>
  <c r="F92" i="2"/>
  <c r="F90" i="2"/>
  <c r="F73" i="2"/>
  <c r="F71" i="2"/>
  <c r="K390" i="15" l="1"/>
  <c r="K391" i="15" s="1"/>
  <c r="F114" i="2"/>
  <c r="K341" i="17"/>
  <c r="K342" i="17" s="1"/>
  <c r="F70" i="2"/>
  <c r="F94" i="2"/>
  <c r="K336" i="17" l="1"/>
  <c r="K324" i="17" s="1"/>
  <c r="F87" i="2"/>
  <c r="K385" i="15"/>
  <c r="K373" i="15" s="1"/>
  <c r="F69" i="2" l="1"/>
  <c r="K388" i="15"/>
  <c r="K389" i="15" s="1"/>
  <c r="K339" i="17"/>
  <c r="K340" i="17" s="1"/>
  <c r="N336" i="17"/>
  <c r="N324" i="17" s="1"/>
  <c r="L385" i="15"/>
  <c r="L373" i="15" s="1"/>
  <c r="F68" i="2"/>
  <c r="N339" i="17"/>
  <c r="N340" i="17" s="1"/>
  <c r="L388" i="15"/>
  <c r="L389" i="15" s="1"/>
  <c r="F119" i="2" l="1"/>
  <c r="E10" i="25" s="1"/>
  <c r="E9" i="25" s="1"/>
  <c r="E8" i="25" s="1"/>
  <c r="E7" i="25" s="1"/>
  <c r="E6" i="25" s="1"/>
  <c r="E15" i="25" s="1"/>
  <c r="G119" i="2"/>
  <c r="D8" i="25"/>
  <c r="D7" i="25" s="1"/>
  <c r="F10" i="25" l="1"/>
  <c r="F9" i="25" s="1"/>
  <c r="F8" i="25" s="1"/>
  <c r="F7" i="25" s="1"/>
  <c r="F6" i="25" s="1"/>
  <c r="F15" i="25" s="1"/>
  <c r="N307" i="17"/>
  <c r="N306" i="17" s="1"/>
  <c r="L323" i="4"/>
  <c r="L324" i="4" s="1"/>
  <c r="M398" i="16"/>
  <c r="N337" i="17"/>
  <c r="L386" i="15"/>
  <c r="O301" i="5"/>
  <c r="L356" i="15"/>
  <c r="L355" i="15" s="1"/>
  <c r="N396" i="17"/>
  <c r="G9" i="26"/>
  <c r="G8" i="26" s="1"/>
  <c r="G7" i="26" s="1"/>
  <c r="G6" i="26" s="1"/>
  <c r="G15" i="26" s="1"/>
  <c r="K337" i="17"/>
  <c r="K356" i="15"/>
  <c r="K355" i="15" s="1"/>
  <c r="L398" i="16"/>
  <c r="K307" i="17"/>
  <c r="K306" i="17" s="1"/>
  <c r="D9" i="26"/>
  <c r="D8" i="26" s="1"/>
  <c r="D7" i="26" s="1"/>
  <c r="D6" i="26" s="1"/>
  <c r="D15" i="26" s="1"/>
  <c r="K386" i="15"/>
  <c r="K396" i="17"/>
  <c r="L301" i="5"/>
  <c r="K323" i="4"/>
  <c r="K324" i="4" s="1"/>
  <c r="C15" i="12"/>
  <c r="F15" i="12"/>
  <c r="C13" i="11"/>
  <c r="D14" i="13"/>
  <c r="C14" i="13"/>
  <c r="L302" i="5" l="1"/>
  <c r="L304" i="5"/>
  <c r="M401" i="16"/>
  <c r="M399" i="16"/>
  <c r="L401" i="16"/>
  <c r="L399" i="16"/>
  <c r="O302" i="5"/>
  <c r="O304" i="5"/>
  <c r="D14" i="14"/>
  <c r="C14" i="14"/>
  <c r="C14" i="10" l="1"/>
  <c r="C15" i="9"/>
  <c r="C13" i="6"/>
  <c r="D13" i="25" l="1"/>
  <c r="D12" i="25" s="1"/>
  <c r="D11" i="25" s="1"/>
  <c r="D6" i="25" s="1"/>
  <c r="D15" i="25" s="1"/>
</calcChain>
</file>

<file path=xl/sharedStrings.xml><?xml version="1.0" encoding="utf-8"?>
<sst xmlns="http://schemas.openxmlformats.org/spreadsheetml/2006/main" count="7561" uniqueCount="859">
  <si>
    <t>10</t>
  </si>
  <si>
    <t>06</t>
  </si>
  <si>
    <t>51 0 2222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</si>
  <si>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</si>
  <si>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03</t>
  </si>
  <si>
    <t xml:space="preserve"> 52 0 1672</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</si>
  <si>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</si>
  <si>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04</t>
  </si>
  <si>
    <t>52 0 5260</t>
  </si>
  <si>
    <t>313</t>
  </si>
  <si>
    <t>ИТОГО</t>
  </si>
  <si>
    <t>Наименование</t>
  </si>
  <si>
    <t>Рз</t>
  </si>
  <si>
    <t>Пр</t>
  </si>
  <si>
    <t>ЦСР</t>
  </si>
  <si>
    <t>ВР</t>
  </si>
  <si>
    <t>Администрация Клетнянского района</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</si>
  <si>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</si>
  <si>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</si>
  <si>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</si>
  <si>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Обеспечение деятельности главы исполнительно-распорядительного органа муниципального образования </t>
  </si>
  <si>
    <t>51 0 1001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</si>
  <si>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</si>
  <si>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</si>
  <si>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</si>
  <si>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 xml:space="preserve">Расходы на выплаты персоналу государственных (муниципальных) органов </t>
  </si>
  <si>
    <t>120</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</si>
  <si>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</si>
  <si>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</si>
  <si>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</si>
  <si>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</si>
  <si>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</si>
  <si>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</si>
  <si>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</si>
  <si>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налога на имущество организаций и земельного налога</t>
  </si>
  <si>
    <t>851</t>
  </si>
  <si>
    <t>852</t>
  </si>
  <si>
    <t>07</t>
  </si>
  <si>
    <t>Резервные фонды</t>
  </si>
  <si>
    <t>11</t>
  </si>
  <si>
    <t>70 0 1012</t>
  </si>
  <si>
    <t xml:space="preserve">Резервные фонды местных администраций </t>
  </si>
  <si>
    <t>Резервные средства</t>
  </si>
  <si>
    <t>870</t>
  </si>
  <si>
    <t>Другие общегосударственные вопросы</t>
  </si>
  <si>
    <t>13</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</si>
  <si>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</si>
  <si>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51 0 1202</t>
  </si>
  <si>
    <t xml:space="preserve">Реализация отдельных мероприятий в сфере развития муниципального управления Клетнянского района </t>
  </si>
  <si>
    <t>51 0 2211</t>
  </si>
  <si>
    <t xml:space="preserve">Повышение энергетической эффективности в Клетнянском муниципальном районе </t>
  </si>
  <si>
    <t>51 0 2212</t>
  </si>
  <si>
    <t>Оценка имущества, признание прав и регулирование отношений муниципальной собственности</t>
  </si>
  <si>
    <t>51 0 1740</t>
  </si>
  <si>
    <t>Содержание и обслуживание казны муниципального образования</t>
  </si>
  <si>
    <t>51 0 1741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</si>
  <si>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</si>
  <si>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</si>
  <si>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</si>
  <si>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51 0 1134</t>
  </si>
  <si>
    <t>Расходы на выплаты персоналу казенных учреждений</t>
  </si>
  <si>
    <t>110</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</si>
  <si>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</si>
  <si>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</si>
  <si>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</si>
  <si>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</si>
  <si>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51 0 2218</t>
  </si>
  <si>
    <t>810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</si>
  <si>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</si>
  <si>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</si>
  <si>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</si>
  <si>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51 0 1790</t>
  </si>
  <si>
    <t>Жилищно-коммунальное хозяйство</t>
  </si>
  <si>
    <t>Коммунальное хозяйство</t>
  </si>
  <si>
    <t>02</t>
  </si>
  <si>
    <t>Выполнение проектных работ по газификации населенных пунктов Клетнянского района</t>
  </si>
  <si>
    <t>51 0 2220</t>
  </si>
  <si>
    <t>400</t>
  </si>
  <si>
    <t>Бюджетные инвестиции в объекты капитального строительства государственной (муниципальной) cобственности</t>
  </si>
  <si>
    <t>414</t>
  </si>
  <si>
    <t>Образование</t>
  </si>
  <si>
    <t>Дошкольное образование</t>
  </si>
  <si>
    <t>Мероприятия в области образования</t>
  </si>
  <si>
    <t>51 0 2214</t>
  </si>
  <si>
    <t>Общее образование</t>
  </si>
  <si>
    <t>Культура, кинематография</t>
  </si>
  <si>
    <t>08</t>
  </si>
  <si>
    <t>Культура</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</si>
  <si>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</si>
  <si>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51 0 1421</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</si>
  <si>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</si>
  <si>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</si>
  <si>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</si>
  <si>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Библиотеки</t>
  </si>
  <si>
    <t>51 0 1054</t>
  </si>
  <si>
    <t>Предоставление субсидий бюджетным, автономным учреждениям и иным некоммерческим организациям</t>
  </si>
  <si>
    <t>Учреждения клубного типа</t>
  </si>
  <si>
    <t>51 0 1055</t>
  </si>
  <si>
    <t>Мероприятия по модернизации и эффективному развитию библиотечного дела в Клетнянском районе</t>
  </si>
  <si>
    <t>51 0 2215</t>
  </si>
  <si>
    <t>Мероприятия по сохранению культурного наследия в Клетнянском районе</t>
  </si>
  <si>
    <t xml:space="preserve">Другие вопросы в области культуры, кинематографии </t>
  </si>
  <si>
    <t>Противодействие злоупотреблению наркотиками и их незаконному обороту</t>
  </si>
  <si>
    <t>51 0 1130</t>
  </si>
  <si>
    <t>Социальная политика</t>
  </si>
  <si>
    <t>Пенсионное обеспечение</t>
  </si>
  <si>
    <t>Ежемесячная доплата к государственной пенсии муниципальным служащим в  соответствии с Законом Брянской области от 16 ноября 2007 года №156-З "О муниципальной службе в Брянской области"</t>
  </si>
  <si>
    <t>51 0 1651</t>
  </si>
  <si>
    <t>Социальное обеспечение и иные выплаты населению</t>
  </si>
  <si>
    <t>300</t>
  </si>
  <si>
    <t>321</t>
  </si>
  <si>
    <t>Социальное обеспечение населения</t>
  </si>
  <si>
    <t>Охрана семьи и детства</t>
  </si>
  <si>
    <t>51 0 5082</t>
  </si>
  <si>
    <t>Приобретение товаров, работ, услуг в пользу граждан в целях их социального обеспечения</t>
  </si>
  <si>
    <t>323</t>
  </si>
  <si>
    <t>Другие вопросы в области социальной политики</t>
  </si>
  <si>
    <t>Реализация отдельных мероприятий в сфере социальной защиты населения</t>
  </si>
  <si>
    <t>Физическая культура и спорт</t>
  </si>
  <si>
    <t>Массовый спорт</t>
  </si>
  <si>
    <t>Мероприятия в области физической культуры и спорта</t>
  </si>
  <si>
    <t>51 0 1767</t>
  </si>
  <si>
    <t>Управление по делам образования, демографии, молодежной политике, ФК и массовому спорту</t>
  </si>
  <si>
    <t>52 0 1471</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</si>
  <si>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</si>
  <si>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52 0 1477</t>
  </si>
  <si>
    <t>Дошкольные образовательные организации</t>
  </si>
  <si>
    <t>52 0 1063</t>
  </si>
  <si>
    <t>Мероприятия по развитию образования Клетнянского района</t>
  </si>
  <si>
    <t>52 0 2214</t>
  </si>
  <si>
    <t>Субсидии бюджетным учреждениям на иные цели</t>
  </si>
  <si>
    <t>612</t>
  </si>
  <si>
    <t>Реализация отдельных мероприятий по обеспечению безопасности образовательных учреждений Клетнянского района</t>
  </si>
  <si>
    <t>52 0 2224</t>
  </si>
  <si>
    <t>Предоставление субсидий муниципальным бюджетным, автономным учреждениям и иным некоммерческим организациям</t>
  </si>
  <si>
    <t>Общеобразовательные организации</t>
  </si>
  <si>
    <t>52 0 1064</t>
  </si>
  <si>
    <t>Организации дополнительного образования</t>
  </si>
  <si>
    <t>52 0 1066</t>
  </si>
  <si>
    <t>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</si>
  <si>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52 0 1470</t>
  </si>
  <si>
    <t>Молодежная политика и оздоровление детей</t>
  </si>
  <si>
    <t>Реализация отдельных мероприятий по работе с детьми и молодежью Клетнянского района</t>
  </si>
  <si>
    <t>Другие вопросы в области образования</t>
  </si>
  <si>
    <t>Прочие учреждения образования</t>
  </si>
  <si>
    <t>52 0 1075</t>
  </si>
  <si>
    <t>Пособия, компенсации и иные социальные выплаты гражданам, кроме публичных нормативных обязательств</t>
  </si>
  <si>
    <t>Обеспечение сохранности жилых помещений, закрепленных за детьми-сиротами и детьми, оставшимися без попечения родителей</t>
  </si>
  <si>
    <t>52 0 1671</t>
  </si>
  <si>
    <t xml:space="preserve">10 </t>
  </si>
  <si>
    <t>Обеспечение условий по повышению качества жизни молодых семей Клетнянского района</t>
  </si>
  <si>
    <t>52 0 2226</t>
  </si>
  <si>
    <t>Субсидии гражданам на приобретение жилья</t>
  </si>
  <si>
    <t>322</t>
  </si>
  <si>
    <t>52 0 1478</t>
  </si>
  <si>
    <t>52 0 1202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</si>
  <si>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</si>
  <si>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</si>
  <si>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Межбюджетные трансферты</t>
  </si>
  <si>
    <t>500</t>
  </si>
  <si>
    <t>Субвенции</t>
  </si>
  <si>
    <t>530</t>
  </si>
  <si>
    <t>Национальная оборона</t>
  </si>
  <si>
    <t>Мобилизационная и вневойсковая подготовка</t>
  </si>
  <si>
    <t/>
  </si>
  <si>
    <t>53 0 1421</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</si>
  <si>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</si>
  <si>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</si>
  <si>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</si>
  <si>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</si>
  <si>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53 0 1584</t>
  </si>
  <si>
    <t>Иные межбюджетные трансферты</t>
  </si>
  <si>
    <t>540</t>
  </si>
  <si>
    <t>Иные дотации</t>
  </si>
  <si>
    <t>Поддержка мер по обеспечению сбалансированности бюджетов поселений</t>
  </si>
  <si>
    <t>53 0 1586</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</si>
  <si>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</si>
  <si>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</si>
  <si>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Руководитель контрольно-счётного органа муниципального образования </t>
  </si>
  <si>
    <t>70 0 1006</t>
  </si>
  <si>
    <t>ВСЕГО РАСХОДОВ</t>
  </si>
  <si>
    <t>Условно утвержденные расходы</t>
  </si>
  <si>
    <t>99</t>
  </si>
  <si>
    <t>70 0 1014</t>
  </si>
  <si>
    <t>999</t>
  </si>
  <si>
    <t>Таблица 1</t>
  </si>
  <si>
    <t>№ п/п</t>
  </si>
  <si>
    <t>Наименование муниципального образования</t>
  </si>
  <si>
    <t>Сумма, рублей</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</si>
  <si>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</si>
  <si>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</si>
  <si>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</si>
  <si>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</si>
  <si>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</si>
  <si>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</si>
  <si>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 xml:space="preserve"> </t>
  </si>
  <si>
    <t xml:space="preserve">  1 00 00000 00 0000 000</t>
  </si>
  <si>
    <t xml:space="preserve">  1 01 00000 00 0000 000</t>
  </si>
  <si>
    <t xml:space="preserve"> 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</si>
  <si>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</si>
  <si>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</si>
  <si>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</si>
  <si>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 xml:space="preserve">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</si>
  <si>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</si>
  <si>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</si>
  <si>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</si>
  <si>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1 0102040 01 1000 110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</si>
  <si>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</si>
  <si>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 xml:space="preserve">  1 05 00000 00 0000 000</t>
  </si>
  <si>
    <t>НАЛОГИ НА СОВОКУПНЫЙ ДОХОД</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</si>
  <si>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</si>
  <si>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</si>
  <si>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</si>
  <si>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</si>
  <si>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</si>
  <si>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</si>
  <si>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</si>
  <si>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</si>
  <si>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</si>
  <si>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</si>
  <si>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</si>
  <si>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</si>
  <si>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</si>
  <si>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  СБОРЫ</t>
  </si>
  <si>
    <t>Государственная пошлина  по делам,  рассматриваемым в судах  общей  юрисдикции, мировыми судьями</t>
  </si>
  <si>
    <t xml:space="preserve">  1 08 03010 01 0000 110</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</si>
  <si>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</si>
  <si>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</si>
  <si>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</si>
  <si>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</si>
  <si>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</si>
  <si>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</si>
  <si>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1 11 05030 00 0000 120</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</si>
  <si>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</si>
  <si>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</si>
  <si>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</si>
  <si>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</si>
  <si>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</si>
  <si>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</si>
  <si>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</si>
  <si>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</si>
  <si>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</si>
  <si>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</si>
  <si>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</si>
  <si>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</si>
  <si>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</si>
  <si>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передвижными объектами</t>
  </si>
  <si>
    <t xml:space="preserve">  1 12 01030 01 0000 120</t>
  </si>
  <si>
    <t>Плата за выбросы загрязняющих веществ в водные объекты</t>
  </si>
  <si>
    <t xml:space="preserve">  1 12 01040 01 0000 120</t>
  </si>
  <si>
    <t>Плата за иные виды негативного воздействия на окружающую среду</t>
  </si>
  <si>
    <t>1 13 00000 00 0000 000</t>
  </si>
  <si>
    <t>1 13 02000 00 0000 130</t>
  </si>
  <si>
    <t>Доходы от   компенсации затрат  государства</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</si>
  <si>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</si>
  <si>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</si>
  <si>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</si>
  <si>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</si>
  <si>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</si>
  <si>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</si>
  <si>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</si>
  <si>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</si>
  <si>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</si>
  <si>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</si>
  <si>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</si>
  <si>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</si>
  <si>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</si>
  <si>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</si>
  <si>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t>
  </si>
  <si>
    <t>1 16 06000 01 0000 140</t>
  </si>
  <si>
    <t xml:space="preserve">  1 16 25060 01 0000 140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</si>
  <si>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</si>
  <si>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 xml:space="preserve">   1 16 43000 01 0000 140</t>
  </si>
  <si>
    <t>1 16 900 00 00 0000 140</t>
  </si>
  <si>
    <t>Прочие  поступления  от денежных  взысканий  (штрафов) и иных сумм в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</si>
  <si>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</si>
  <si>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</si>
  <si>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</si>
  <si>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</si>
  <si>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</si>
  <si>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</si>
  <si>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</si>
  <si>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</si>
  <si>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</si>
  <si>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</si>
  <si>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</si>
  <si>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</si>
  <si>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</si>
  <si>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</si>
  <si>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</si>
  <si>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</si>
  <si>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</si>
  <si>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</si>
  <si>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</si>
  <si>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</si>
  <si>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</si>
  <si>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</si>
  <si>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</si>
  <si>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</si>
  <si>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</si>
  <si>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</si>
  <si>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</si>
  <si>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</si>
  <si>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</si>
  <si>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</si>
  <si>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на финансовое обеспечение получения дошкольного образования в дошкольных 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</si>
  <si>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</si>
  <si>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</si>
  <si>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 в 2016 году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</si>
  <si>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</si>
  <si>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</si>
  <si>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t>
  </si>
  <si>
    <t>2 02 03029 00 0000 151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</si>
  <si>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</si>
  <si>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</si>
  <si>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</si>
  <si>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2 02 03119 00 0000 151</t>
  </si>
  <si>
    <t>2 02 03119 05 0000 151</t>
  </si>
  <si>
    <t>2 02 03999 05 0000 151</t>
  </si>
  <si>
    <t>Прочие субвенции бюджетам муниципальных районов</t>
  </si>
  <si>
    <t xml:space="preserve"> - субвенции бюджетам муниципальных районов  на 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</si>
  <si>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2 02 04000 00 0000 151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</si>
  <si>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</si>
  <si>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</si>
  <si>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</si>
  <si>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</si>
  <si>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</si>
  <si>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Код бюджетной классификации Российской Федерации</t>
  </si>
  <si>
    <t>Наименование доходов</t>
  </si>
  <si>
    <t>Сумма на 2016 год</t>
  </si>
  <si>
    <t>рублей</t>
  </si>
  <si>
    <t>ГРБС</t>
  </si>
  <si>
    <t xml:space="preserve">НР </t>
  </si>
  <si>
    <t>1001</t>
  </si>
  <si>
    <t>1202</t>
  </si>
  <si>
    <t>2211</t>
  </si>
  <si>
    <t>2212</t>
  </si>
  <si>
    <t>1740</t>
  </si>
  <si>
    <t>1741</t>
  </si>
  <si>
    <t>1134</t>
  </si>
  <si>
    <t>2218</t>
  </si>
  <si>
    <t>1790</t>
  </si>
  <si>
    <t>2220</t>
  </si>
  <si>
    <t>2214</t>
  </si>
  <si>
    <t>1421</t>
  </si>
  <si>
    <t>1054</t>
  </si>
  <si>
    <t>2215</t>
  </si>
  <si>
    <t>2216</t>
  </si>
  <si>
    <t>1130</t>
  </si>
  <si>
    <t>1651</t>
  </si>
  <si>
    <t>5082</t>
  </si>
  <si>
    <t>2222</t>
  </si>
  <si>
    <t>1767</t>
  </si>
  <si>
    <t>1471</t>
  </si>
  <si>
    <t>1477</t>
  </si>
  <si>
    <t>1063</t>
  </si>
  <si>
    <t>1064</t>
  </si>
  <si>
    <t>1066</t>
  </si>
  <si>
    <t>1470</t>
  </si>
  <si>
    <t>2224</t>
  </si>
  <si>
    <t>1075</t>
  </si>
  <si>
    <t>1671</t>
  </si>
  <si>
    <t>1672</t>
  </si>
  <si>
    <t>1478</t>
  </si>
  <si>
    <t>5260</t>
  </si>
  <si>
    <t>1584</t>
  </si>
  <si>
    <t>1586</t>
  </si>
  <si>
    <t>1014</t>
  </si>
  <si>
    <t xml:space="preserve">Непрограммная деятельность </t>
  </si>
  <si>
    <t>1012</t>
  </si>
  <si>
    <t>1006</t>
  </si>
  <si>
    <t>Жилищное хозяйство</t>
  </si>
  <si>
    <t>Дорожное хозяйство (дорожные фонды)</t>
  </si>
  <si>
    <t>Осуществление части полномочий по решешению вопросов местного значения поселений по осуществлению внешнего муниципального контроля</t>
  </si>
  <si>
    <t>НАЛОГИ НА ПРИБЫЛЬ, ДОХОДЫ</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</si>
  <si>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</si>
  <si>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 xml:space="preserve">Субсидии юридическим лицам (кроме некоммерческих организаций), индивидуальным предпринимателям, физическим лицам </t>
  </si>
  <si>
    <t>ДОХОДЫ ОТ ОКАЗАНИЯ ПЛАТНЫХ УСЛУГ (РАБОТ) И КОМПЕНСАЦИИ ЗАТРАТ ГОСУДАРСТВА</t>
  </si>
  <si>
    <t>53 0 1010</t>
  </si>
  <si>
    <t>Пособия, компенсации, меры социальной поддержки по публичным нормативным обязательствам</t>
  </si>
  <si>
    <t xml:space="preserve">Наименование главного администратора доходов местного  бюджета </t>
  </si>
  <si>
    <t>Федеральная служба по надзору в сфере природопользования</t>
  </si>
  <si>
    <t>1 12 01010 01 0000 120</t>
  </si>
  <si>
    <t>1 12 01020 01 0000 120</t>
  </si>
  <si>
    <t>Плата за выбросы загрязняющих веществ в атмосферный воздух передвижными объектами</t>
  </si>
  <si>
    <t>1 12 01030 01 0000 120</t>
  </si>
  <si>
    <t>1 12 01040 01 0000 120</t>
  </si>
  <si>
    <t>Плата за размещение отходов производства и потребления</t>
  </si>
  <si>
    <t>1 16 90050 05 0000 140</t>
  </si>
  <si>
    <t>Федеральная служба по надзору в сфере защиты прав потребителей и благополучия человека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</si>
  <si>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</si>
  <si>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</si>
  <si>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Федеральная налоговая служба</t>
  </si>
  <si>
    <t>1 01 02000 01 0000 110</t>
  </si>
  <si>
    <t>Налог на доходы физических лиц &lt;1&gt;</t>
  </si>
  <si>
    <t>1 05 02000 02 0000 110</t>
  </si>
  <si>
    <t>Единый налог на вмененный доход для отдельных видов деятельности &lt;1&gt;</t>
  </si>
  <si>
    <t>1 05 03000 01 0000 110</t>
  </si>
  <si>
    <t>Единый сельскохозяйственный налог&lt;1&gt;</t>
  </si>
  <si>
    <t>Налог, взимаемый в связи с применением патентной системы налогообложения &lt;1&gt;</t>
  </si>
  <si>
    <t>1 08 03000 01 0000 110</t>
  </si>
  <si>
    <t xml:space="preserve"> Государственная пошлина по делам, рассматриваемым в судах общей юрисдикции, мировыми судьями&lt;1&gt; </t>
  </si>
  <si>
    <t>1 09 01000 00 0000 000</t>
  </si>
  <si>
    <t xml:space="preserve">  Налог на прибыль организаций, зачислявшийся до 1 января 2005 года в местные бюджеты &lt;1&gt;</t>
  </si>
  <si>
    <t>1 09 07030 00 0000 000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</si>
  <si>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цели&lt;1&gt;</t>
  </si>
  <si>
    <t>1 09 07053 05 0000 000</t>
  </si>
  <si>
    <t>Прочие местные налоги и сборы, мобилизуемые на территориях муниципальных районов&lt;1&gt;</t>
  </si>
  <si>
    <t>Министерство внутренних дел Российской Федерации</t>
  </si>
  <si>
    <t xml:space="preserve"> Федеральная служба государственной регистрации, кадастра и картографии</t>
  </si>
  <si>
    <t>1 16 2500 00 0000 140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</si>
  <si>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</si>
  <si>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Генеральная прокуратура Российской Федерации</t>
  </si>
  <si>
    <t>1 16 90050 05 6000 140</t>
  </si>
  <si>
    <t xml:space="preserve"> Государственная инспекция по надзору за техническим состоянием самоходных машин и других видов техники</t>
  </si>
  <si>
    <t>доходов местного бюджета</t>
  </si>
  <si>
    <t>администратора доходов</t>
  </si>
  <si>
    <t>Наименование  доходов</t>
  </si>
  <si>
    <t>Бюджет городского поселения</t>
  </si>
  <si>
    <t>Бюджеты сельских поселений</t>
  </si>
  <si>
    <t xml:space="preserve"> Доходы от погашения задолженности и перерасчетов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</si>
  <si>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</si>
  <si>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</si>
  <si>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 xml:space="preserve"> Доходы от оказания  платных услуг (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</si>
  <si>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</si>
  <si>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</si>
  <si>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Доходы от административных платежей и сборов</t>
  </si>
  <si>
    <t>Платежи, взимаемые  органами управления (организациями)    муниципальных районов  за выполнение  определенных функций</t>
  </si>
  <si>
    <t>Доходы от штрафов, санкций, возмещения  ущерба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</si>
  <si>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</si>
  <si>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</si>
  <si>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Денежные взыскания (штрафы) за нарушение  бюджетного законодательства (в части бюджетов  муниципальных районов)</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</si>
  <si>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</si>
  <si>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 xml:space="preserve"> Прочие неналоговые доходы</t>
  </si>
  <si>
    <t>Невыясненные поступления, зачисляемые  в бюджеты  муниципальных районов</t>
  </si>
  <si>
    <t>Прочие неналоговые доходы  бюджетов  муниципальных районов</t>
  </si>
  <si>
    <t>Наименование  главного администратора и закрепленные источники доходов областного бюджета</t>
  </si>
  <si>
    <t xml:space="preserve"> Главного  администратора доходов</t>
  </si>
  <si>
    <t>доходов бюджета субъектов Российской Федерации</t>
  </si>
  <si>
    <t>1 16 90020 02 0000 140</t>
  </si>
  <si>
    <t xml:space="preserve"> Прочие поступления от денежных взысканий ( штрафов) и иных сумм в возмещение ущерба, зачисляемые в бюджеты субъектов Российской Федерации</t>
  </si>
  <si>
    <t>Перечень главных администраторов доходов бюджета муниципального образования " Клетнянский муниципальный район"</t>
  </si>
  <si>
    <t xml:space="preserve">Наименование  </t>
  </si>
  <si>
    <t>1 08 07150 01 1000 110</t>
  </si>
  <si>
    <t>Государственная пошлина за выдачу разрешения на установку рекламной конструкции</t>
  </si>
  <si>
    <t>1 08 07150 01 4000 110</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</si>
  <si>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</si>
  <si>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</si>
  <si>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</si>
  <si>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</si>
  <si>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</si>
  <si>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</si>
  <si>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</si>
  <si>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</si>
  <si>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</si>
  <si>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</si>
  <si>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</si>
  <si>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</si>
  <si>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1 13 02995 05 0000 130</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</si>
  <si>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</si>
  <si>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</si>
  <si>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</si>
  <si>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</si>
  <si>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</si>
  <si>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</si>
  <si>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</si>
  <si>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</si>
  <si>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</si>
  <si>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</si>
  <si>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</si>
  <si>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</si>
  <si>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</si>
  <si>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1 16 18050 05 0000 140</t>
  </si>
  <si>
    <t>Денежные взыскания (штрафы) за нарушение бюджетного законодательства (в части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</si>
  <si>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</si>
  <si>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</si>
  <si>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</si>
  <si>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 когда выгодоприобретателями  выступают получатели средств бюджетов муниципальных районов</t>
  </si>
  <si>
    <t>1 16 32000 05 0000 140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</si>
  <si>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</si>
  <si>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</si>
  <si>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</si>
  <si>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</si>
  <si>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</si>
  <si>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2 02 01999 05 0000 151</t>
  </si>
  <si>
    <t>Прочие дотации бюджетам муниципальных районов</t>
  </si>
  <si>
    <t>2 02 02008 05 0000 151</t>
  </si>
  <si>
    <t>Субсидии бюджетам муниципальных районов  на обеспечение  жильем молодых семей</t>
  </si>
  <si>
    <t>2 02 02051 05 0000 151</t>
  </si>
  <si>
    <t>Субсидии бюджетам муниципальных районов на реализацию федеральных целевых программ</t>
  </si>
  <si>
    <t>2 02 02077 05 0000 151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</si>
  <si>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</si>
  <si>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2 02 02078 05 0000 151</t>
  </si>
  <si>
    <t>Субсидии  бюджетам  муниципальных районов на  бюджетные инвестиции для  модернизации объектов коммунальной инфраструктуры</t>
  </si>
  <si>
    <t>2 02 02999 05 0000 151</t>
  </si>
  <si>
    <t>Прочие субсидии бюджетам муниципальных районов</t>
  </si>
  <si>
    <t>2 02 03002 05 0000 151</t>
  </si>
  <si>
    <t>Субвенции  бюджетам  муниципальных районов на осуществление полномочий  по подготовке  проведения  статистических переписей</t>
  </si>
  <si>
    <t>2 02 03007 05 0000 151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</si>
  <si>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</si>
  <si>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</si>
  <si>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2 02 04999 05 0000 151</t>
  </si>
  <si>
    <t>Прочие межбюджетные трансферты, передаваемые бюджетам муниципальных районов</t>
  </si>
  <si>
    <t>2 08 05000 05 0000 180</t>
  </si>
  <si>
    <t>Перечисления из бюджетов муниципальных районов (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</si>
  <si>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</si>
  <si>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</si>
  <si>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</si>
  <si>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</si>
  <si>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</si>
  <si>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Прочие поступления от денежных взысканий (штрафов) и иных сумм в возмещение ущерба,зачисляемые в бюджеты муниципальных районов &lt;2&gt;</t>
  </si>
  <si>
    <t xml:space="preserve">Прочие поступления от денежных взысканий (штрафов) и иных сумм в возмещение ущерба, зачисляемые в бюджеты муниципальных районов   </t>
  </si>
  <si>
    <t xml:space="preserve"> Управление ветеринарии Брянской области</t>
  </si>
  <si>
    <t xml:space="preserve">Прочие поступления от денежных взысканий (штрафов) и иных сумм в возмещение ущерба,зачисляемые в бюджеты муниципальных районов   </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</si>
  <si>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</si>
  <si>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</si>
  <si>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Приложение 5</t>
  </si>
  <si>
    <t>Перечень главных администраторов источников финансирования дефицита бюджета муниципального образования "Клетнянский муниципальный район"</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</si>
  <si>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</si>
  <si>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</si>
  <si>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 xml:space="preserve">Наименование администраторов источников финансирования дефицита районного бюджета </t>
  </si>
  <si>
    <t>01 05 02 01 05 0000 510</t>
  </si>
  <si>
    <t xml:space="preserve">  Увеличение прочих остатков денежных средств  бюджетов муниципальных районов</t>
  </si>
  <si>
    <t>01 05 02 01 05 0000 610</t>
  </si>
  <si>
    <t xml:space="preserve">  Уменьшение прочих остатков денежных средств бюджетов муниципальных районов</t>
  </si>
  <si>
    <t>Приложение 12</t>
  </si>
  <si>
    <t>КБК</t>
  </si>
  <si>
    <t>НАИМЕНОВАНИЕ</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</si>
  <si>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</si>
  <si>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</si>
  <si>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</si>
  <si>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</si>
  <si>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</si>
  <si>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</si>
  <si>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</si>
  <si>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</si>
  <si>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</si>
  <si>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</si>
  <si>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</si>
  <si>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</si>
  <si>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</si>
  <si>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</si>
  <si>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</si>
  <si>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</si>
  <si>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</si>
  <si>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</si>
  <si>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</si>
  <si>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Утверждено на 2015 год</t>
  </si>
  <si>
    <t>Утверждено на 2016 год</t>
  </si>
  <si>
    <t>Приложение 1</t>
  </si>
  <si>
    <t>Приложение 2</t>
  </si>
  <si>
    <t>Приложение 4</t>
  </si>
  <si>
    <t>Таблица 2</t>
  </si>
  <si>
    <t>Таблица 3</t>
  </si>
  <si>
    <t>Таблица 4</t>
  </si>
  <si>
    <t>Таблица 5</t>
  </si>
  <si>
    <t>Приложение 13</t>
  </si>
  <si>
    <t>52 0 2231</t>
  </si>
  <si>
    <t>2231</t>
  </si>
  <si>
    <t>70 0 1010</t>
  </si>
  <si>
    <t>51 0 1010</t>
  </si>
  <si>
    <t>52 0 1010</t>
  </si>
  <si>
    <t>1010</t>
  </si>
  <si>
    <t xml:space="preserve">Сумма, рублей </t>
  </si>
  <si>
    <t>(рублей)</t>
  </si>
  <si>
    <t>53 0 5118</t>
  </si>
  <si>
    <t xml:space="preserve">Приложение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</si>
  <si>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</si>
  <si>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51 0 1891</t>
  </si>
  <si>
    <t xml:space="preserve">Мероприятия по поддержке малого и среднего предпринимательства в Клетнянском районе </t>
  </si>
  <si>
    <t>Создание, развитие многофункционального центра на территории Клетнянского района</t>
  </si>
  <si>
    <t>51 0 1865</t>
  </si>
  <si>
    <t>Единая дежурно-диспетчерская служба</t>
  </si>
  <si>
    <t>1865</t>
  </si>
  <si>
    <t>1891</t>
  </si>
  <si>
    <t>вед</t>
  </si>
  <si>
    <t>функц</t>
  </si>
  <si>
    <t>дох</t>
  </si>
  <si>
    <t>ППЭБР ОБ</t>
  </si>
  <si>
    <t>ППЭБР МБ</t>
  </si>
  <si>
    <t>инвестиции</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</si>
  <si>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</si>
  <si>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</si>
  <si>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70 0 1003</t>
  </si>
  <si>
    <t>1003</t>
  </si>
  <si>
    <t xml:space="preserve">Ремонт муниципального жилищного фонда </t>
  </si>
  <si>
    <t>51 0 7105</t>
  </si>
  <si>
    <t>7105</t>
  </si>
  <si>
    <t>Прочие межбюджетные трансферты, передаваемые бюджетам</t>
  </si>
  <si>
    <t>2 02 04999 00 0000 151</t>
  </si>
  <si>
    <t>51 0 5118</t>
  </si>
  <si>
    <t>Нормативы распределения доходов на 2015 год и на плановый период 2016 и 2017 годов между бюджетом муниципального образования "Клетнянский муниципальный район" и бюджетами городского и сельских поселений</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</si>
  <si>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</si>
  <si>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</si>
  <si>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853</t>
  </si>
  <si>
    <t>Уплата иных платежей</t>
  </si>
  <si>
    <t>Уплата прочих налогов, сборов</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</si>
  <si>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</si>
  <si>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</si>
  <si>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</si>
  <si>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Распределение дотаций  поселениям на выравнивание бюджетной обеспеченности за счет средств областного бюджета на 2015 год</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</si>
  <si>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2015 год
</t>
  </si>
  <si>
    <t>Распределение дотаций на поддержку мер по обеспечению сбалансированности бюджетов поселений на 2015 год</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</si>
  <si>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</si>
  <si>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51 0 1251</t>
  </si>
  <si>
    <t>51 0 1057</t>
  </si>
  <si>
    <t xml:space="preserve">Учреждения клубного типа </t>
  </si>
  <si>
    <t>51 0 1058</t>
  </si>
  <si>
    <t>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t>
  </si>
  <si>
    <t>Осуществление полномочий по решению вопросов местного значения поселений в соответствии с заключенными соглашениями в части организации библиотечного обслуживания населения</t>
  </si>
  <si>
    <t>Осуществление части полномочий по решению вопросов местного значения поселений в соответствии с заключенными соглашениями на мероприятия в области физической культуры и спорта</t>
  </si>
  <si>
    <t>51 0 1768</t>
  </si>
  <si>
    <t>Осуществление части полномочий по решению вопросов местного значения поселений в соответствии с заключенными соглашениями по формированию архивных фондов поселений</t>
  </si>
  <si>
    <t>51 0 7201</t>
  </si>
  <si>
    <t>Обеспечение сохранности автомобильных дорог местного значения и условий безопасного движения по ним</t>
  </si>
  <si>
    <t>51 0 1016</t>
  </si>
  <si>
    <t>70 0 1015</t>
  </si>
  <si>
    <t>1016</t>
  </si>
  <si>
    <t>7201</t>
  </si>
  <si>
    <t>1768</t>
  </si>
  <si>
    <t>1251</t>
  </si>
  <si>
    <t>1015</t>
  </si>
  <si>
    <t>2015 год</t>
  </si>
  <si>
    <t xml:space="preserve"> НАЛОГОВЫЕ И НЕНАЛОГОВЫЕ ДОХОДЫ</t>
  </si>
  <si>
    <t xml:space="preserve"> 1 03 00000 00 0000 000</t>
  </si>
  <si>
    <t xml:space="preserve"> Налоги на товары ( работы, услуги), реализуемые на территории Российской Федерации</t>
  </si>
  <si>
    <t xml:space="preserve"> 1 03 02000 01 0000 110</t>
  </si>
  <si>
    <t>Акцизы по подакцизным товарам (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</si>
  <si>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</si>
  <si>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</si>
  <si>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</si>
  <si>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</si>
  <si>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</si>
  <si>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</si>
  <si>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</si>
  <si>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</si>
  <si>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1 08 03000 01 0000 110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</si>
  <si>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</si>
  <si>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 а  также  земельных  участков государственных и муниципальных  предпрятий, в том  числе казенных)</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</si>
  <si>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</si>
  <si>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</si>
  <si>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земельного законодательства</t>
  </si>
  <si>
    <t xml:space="preserve">  1 16 28000 00 0000 140</t>
  </si>
  <si>
    <t>1 16 900 05 00 0000 140</t>
  </si>
  <si>
    <t>Прочие  поступления  от денежных  взысканий  (штрафов) и иных сумм в возмещение  ущерба, зачисляемые в бюджеты муниципальных районов</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</si>
  <si>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</si>
  <si>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</si>
  <si>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</si>
  <si>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2 02 03007 00 0000 151</t>
  </si>
  <si>
    <t>из функцструктуры</t>
  </si>
  <si>
    <t>Отклонение</t>
  </si>
  <si>
    <t>Областной бюджет</t>
  </si>
  <si>
    <t>Бюджеты поселений</t>
  </si>
  <si>
    <t>Местный бюджет</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</si>
  <si>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</si>
  <si>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</si>
  <si>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51 0 5120</t>
  </si>
  <si>
    <t>5120</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</si>
  <si>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</si>
  <si>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Финансовое обеспечение получения дошкольного образования в образовательных организациях</t>
  </si>
  <si>
    <t>Подпрограмма "Развитие сельского хозяйства в Клетнянском районе" (2015-2017 годы)</t>
  </si>
  <si>
    <t>Подпрограмма "Культура Клетнянского района на 2015-2017 годы"</t>
  </si>
  <si>
    <t>скрыть</t>
  </si>
  <si>
    <t>Подпрограмма "Комплексные меры противодействия злоупотреблению наркотиками и их незаконному обороту" (2015-2017 годы)</t>
  </si>
  <si>
    <t>Подпрограмма "Развитие молодежной политики, физической культуры и спорта Клетнянского района" (2015-2017 годы)</t>
  </si>
  <si>
    <t>Подпрограмма "Социальная политика Клетнянского района" (2015-2017 годы)</t>
  </si>
  <si>
    <t>Подпрограмма "Обеспечение жильем молодых семей  Клетнянского района на 2015-2017 годы"</t>
  </si>
  <si>
    <t>Подпрограмма "Развитие малого и среднего предпринимательства в Клетнянском районе" (2015-2017 годы)</t>
  </si>
  <si>
    <t>Управление муниципальными финансами муниципального образования "Клетнянский муниципальный район" на 2015-2017 годы</t>
  </si>
  <si>
    <t>Развитие системы образования Клетнянского муниципального  района на 2015-2017 годы</t>
  </si>
  <si>
    <t>Обеспечние реализации полномочий Клетнянского муниципального района на 2015 - 2017 годы</t>
  </si>
  <si>
    <t>Доходы всего</t>
  </si>
  <si>
    <t xml:space="preserve">Доходы С+ОД </t>
  </si>
  <si>
    <t>доходы</t>
  </si>
  <si>
    <t>Приложение 3</t>
  </si>
  <si>
    <t>В соответствии с приказом департамента финансов Брянской области от 23 декабря 2013 года №171  " Об утверждении указаний об установлении, детализации и определении порядка применения бюджетной классификации Российской Федерации в части, относящейся к областному бюджету и бюджету территориального фонда обязательного медицинского страхования Брянской области".</t>
  </si>
  <si>
    <t>048</t>
  </si>
  <si>
    <t>Федеральное казначейство</t>
  </si>
  <si>
    <t>1 03 02230 01 0000 110</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</si>
  <si>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</si>
  <si>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</si>
  <si>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</si>
  <si>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</si>
  <si>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</si>
  <si>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</si>
  <si>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</si>
  <si>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 134, 135,1 35,1 Налогового кодекса Российской Федерации&lt;1&gt;</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</si>
  <si>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 &lt;1&gt;</t>
  </si>
  <si>
    <t>&lt;2&gt;  Администрирование отчислений от уплаты акцизов, подлежащих зачислению в консолидированные бюджеты субъектов Российской Федерации для последующего распределения во входящие в их состав бюджеты по дифференцированным нормативам отчислений, установленным органами государственной власти субъектов Российской Федерации и отражаемых по кодам бюджетной классификации 000 1 03 02230 01 0000 110, 000 1 03 02240 01 0000 110, 000 1 03 02250 01 0000 110, 000 1 03 02260 01 0000 110  осуществляется Федеральным казначейством.</t>
  </si>
  <si>
    <t>&lt;3&gt;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</si>
  <si>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 xml:space="preserve">к пояснительной записке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 </t>
  </si>
  <si>
    <t>к Решению Клетнянского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</si>
  <si>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Источники доходов областного бюджета, закрепленные за главными администраторами доходов бюджета - органами местного самоуправления муниципального образования "Клетнянский муниципальный район"</t>
  </si>
  <si>
    <t>доходов бюджета муниципального района</t>
  </si>
  <si>
    <t>Бюджет муниципального района</t>
  </si>
  <si>
    <t>к пояснительной записке "О бюджете муниципального образования "Клетнянский муниципальный район" на 2015 год и плановый период 2016 и 2017 годов"</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</si>
  <si>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2015 год и на плановый период 2016 и 2017 годов"</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</si>
  <si>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2015 год</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</si>
  <si>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2015 год
</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</si>
  <si>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2016 и 2017 годов
</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</si>
  <si>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плановый период 2016 и 2017 годов</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</si>
  <si>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плановый период 2016 и 2017 годов
</t>
  </si>
  <si>
    <t>Распределение дотаций на поддержку мер по обеспечению сбалансированности бюджетов поселений на плановый период 2016 и 2017 годов</t>
  </si>
  <si>
    <t>Сумма на 2017 год</t>
  </si>
  <si>
    <t>Источники внутреннего финансирования дефицита бюджета муниципального образования "Клетнянский муниципальный район" на 2015 год</t>
  </si>
  <si>
    <t>УУР</t>
  </si>
  <si>
    <t>Всего расходы по видам бюджетов</t>
  </si>
  <si>
    <t>ППЭБР</t>
  </si>
  <si>
    <t>Ведомственная структура расходов бюджета бюджета муниципального образования "Клетнянский муниципальный район" на плановый период 2016 и 2017 годов</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</si>
  <si>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 </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</si>
  <si>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бюджетных и   автономных учреждений)</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</si>
  <si>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133,134, 135, 135.1   Налогового кодекса  Российской  Федерации</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</si>
  <si>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РФ об административных правонарушениях  </t>
  </si>
  <si>
    <t>Приложение 6</t>
  </si>
  <si>
    <t>Приложение 7</t>
  </si>
  <si>
    <t>Приложение 9</t>
  </si>
  <si>
    <t>МП</t>
  </si>
  <si>
    <t>ППМП</t>
  </si>
  <si>
    <t>Приложение 10</t>
  </si>
  <si>
    <t>Продолжение приложения 10</t>
  </si>
  <si>
    <t>Приложение 11</t>
  </si>
  <si>
    <t>.</t>
  </si>
  <si>
    <t>прогр</t>
  </si>
  <si>
    <t>Источники внутреннего финансирования дефицита бюджета муниципального образования "Клетнянский муниципальный район" на плановый период 2016 и 2017 годов</t>
  </si>
  <si>
    <t>Распределение дотаций  поселениям на выравнивание бюджетной обеспеченности за счет средств областного бюджета на плановый период 2016 и 2017 годов</t>
  </si>
  <si>
    <t>51 1 2218</t>
  </si>
  <si>
    <t>51 2 1054</t>
  </si>
  <si>
    <t>51 2 1055</t>
  </si>
  <si>
    <t>51 2 1057</t>
  </si>
  <si>
    <t>51 2 1058</t>
  </si>
  <si>
    <t>51 2 1421</t>
  </si>
  <si>
    <t>51 2 2215</t>
  </si>
  <si>
    <t>51 2 2216</t>
  </si>
  <si>
    <t>51 3 1130</t>
  </si>
  <si>
    <t>51 4 1767</t>
  </si>
  <si>
    <t>51 4 1768</t>
  </si>
  <si>
    <t>51 5 1651</t>
  </si>
  <si>
    <t>51 5 2222</t>
  </si>
  <si>
    <t>51 5 5082</t>
  </si>
  <si>
    <t>51 6 2226</t>
  </si>
  <si>
    <t>51 7 1891</t>
  </si>
  <si>
    <t>субв</t>
  </si>
  <si>
    <t>от пос.</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</si>
  <si>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</si>
  <si>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</si>
  <si>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</si>
  <si>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</si>
  <si>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Контрольно-счетная палата Клетнянского муниципального района</t>
  </si>
  <si>
    <t>Продолжение приложения 11</t>
  </si>
  <si>
    <t>Реализация отдельных мероприятий в сфере развития животноводства Клетнянского района</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</si>
  <si>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t>
    </r>
    <r>
      <rPr>
        <b/>
        <sz val="9"/>
        <rFont val="Arial"/>
        <family val="2"/>
        <charset val="204"/>
      </rPr>
      <t xml:space="preserve"> сельских</t>
    </r>
    <r>
      <rPr>
        <sz val="9"/>
        <rFont val="Arial"/>
        <family val="2"/>
        <charset val="204"/>
      </rPr>
      <t xml:space="preserve"> поселений,  а также средства от продажи  права на  заключение  договоров  аренды  указанных земельных  участков</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</si>
  <si>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расположенны в  </t>
    </r>
    <r>
      <rPr>
        <b/>
        <sz val="9"/>
        <rFont val="Arial"/>
        <family val="2"/>
        <charset val="204"/>
      </rPr>
      <t>границах поселений</t>
    </r>
    <r>
      <rPr>
        <sz val="9"/>
        <rFont val="Arial"/>
        <family val="2"/>
        <charset val="204"/>
      </rPr>
      <t>,  а также средства от продажи  права на  заключение  договоров  аренды  указанных земельных  участков</t>
    </r>
  </si>
  <si>
    <t>1 11 05013 13 0000 120</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</si>
  <si>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t>
    </r>
    <r>
      <rPr>
        <b/>
        <sz val="9"/>
        <rFont val="Arial"/>
        <family val="2"/>
        <charset val="204"/>
      </rPr>
      <t>раницах  городских поселений</t>
    </r>
    <r>
      <rPr>
        <sz val="9"/>
        <rFont val="Arial"/>
        <family val="2"/>
        <charset val="204"/>
      </rPr>
      <t>,  а также средства от продажи  права на  заключение  договоров  аренды  указанных земельных  участков</t>
    </r>
  </si>
  <si>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сельских поселений</t>
    </r>
  </si>
  <si>
    <r>
      <t>Доходы  от продажи  земельных участков,  государственная  собственность  на которые  не разграничена и которые  расположены  в г</t>
    </r>
    <r>
      <rPr>
        <b/>
        <sz val="9"/>
        <rFont val="Arial"/>
        <family val="2"/>
        <charset val="204"/>
      </rPr>
      <t>раницах поселений</t>
    </r>
  </si>
  <si>
    <t xml:space="preserve">  1 14 06013 13 0000 430</t>
  </si>
  <si>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городских поселений</t>
    </r>
  </si>
  <si>
    <t>511</t>
  </si>
  <si>
    <t xml:space="preserve">Дотации             </t>
  </si>
  <si>
    <t>510</t>
  </si>
  <si>
    <t>Уточненный план на 01.03.15.</t>
  </si>
  <si>
    <t>изменения февраль</t>
  </si>
  <si>
    <t>Выполнение работ по газификации Клетнянского района</t>
  </si>
  <si>
    <t>51 0 2221</t>
  </si>
  <si>
    <t>2221</t>
  </si>
  <si>
    <t>2 02 02000 00 0000 151</t>
  </si>
  <si>
    <t>Субсидии бюджетам бюджетной системы Российской Федерации (межбюджетные субсидии)</t>
  </si>
  <si>
    <t>2 02 02008 00 0000 151</t>
  </si>
  <si>
    <t>Субсидии бюджетам на обеспечение жильем молодых семей</t>
  </si>
  <si>
    <t>Субсидии бюджетам муниципальных районов на обеспечение жильем молодых семей</t>
  </si>
  <si>
    <t>2 02 02051 00 0000 151</t>
  </si>
  <si>
    <t>Субсидии бюджетам на реализацию федеральных целевых программ</t>
  </si>
  <si>
    <t>2 02 02077 00 0000 151</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</si>
  <si>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</si>
  <si>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</si>
  <si>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пристройка к МОУ СОШ №2 п.Клетня</t>
  </si>
  <si>
    <t xml:space="preserve"> - строительство систем газоснабжения для населенных пунктов Брянской области</t>
  </si>
  <si>
    <t>51 0 1127</t>
  </si>
  <si>
    <t>Софинансирование объектов капитальных вложений муниципальной собственности</t>
  </si>
  <si>
    <t>51 1 2219</t>
  </si>
  <si>
    <t>2219</t>
  </si>
  <si>
    <t>Ремонт водопроводной сети Клетнянского района</t>
  </si>
  <si>
    <t>ОБ</t>
  </si>
  <si>
    <t>Передача полномочий бюджетам сельских поселений в соответствии с заключенными соглашениями на дорожную деятельность</t>
  </si>
  <si>
    <t>51 0 7211</t>
  </si>
  <si>
    <t>7211</t>
  </si>
  <si>
    <t xml:space="preserve">Передача полномочий бюджетам сельских поселений в соответствии с заключенными соглашениями по сохранению культурного наследия </t>
  </si>
  <si>
    <t>51 2 2217</t>
  </si>
  <si>
    <t>2217</t>
  </si>
  <si>
    <t>1127</t>
  </si>
  <si>
    <t>изм.февраль</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</si>
  <si>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</si>
  <si>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512</t>
  </si>
  <si>
    <t>Дотации</t>
  </si>
  <si>
    <t>Приложение</t>
  </si>
  <si>
    <t>51 0 2223</t>
  </si>
  <si>
    <t>2223</t>
  </si>
  <si>
    <t>изм название апрель ниже строка</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</si>
  <si>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</si>
  <si>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новое название</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</si>
  <si>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</si>
  <si>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изменения апрель</t>
  </si>
  <si>
    <t xml:space="preserve"> - дополнительные меры государственной поддержки обучающихся</t>
  </si>
  <si>
    <t>2 02 02999 00 0000 151</t>
  </si>
  <si>
    <t>Прочие субсидии</t>
  </si>
  <si>
    <t>было</t>
  </si>
  <si>
    <t>Дополнительные меры государственной поддержки обучающихся</t>
  </si>
  <si>
    <t>52 0 1473</t>
  </si>
  <si>
    <t>1473</t>
  </si>
  <si>
    <t>Изм февраль</t>
  </si>
  <si>
    <t>Изм апрель</t>
  </si>
  <si>
    <t>Уточненный план на 01.05.15.</t>
  </si>
  <si>
    <t>ё</t>
  </si>
  <si>
    <t>1055</t>
  </si>
  <si>
    <t>1057</t>
  </si>
  <si>
    <t>1058</t>
  </si>
  <si>
    <t>2226</t>
  </si>
  <si>
    <t>МР</t>
  </si>
  <si>
    <t>пос</t>
  </si>
  <si>
    <t>Пос</t>
  </si>
  <si>
    <t>ФБ</t>
  </si>
  <si>
    <t>ВСЕГО</t>
  </si>
  <si>
    <t>Дох.субв+субс</t>
  </si>
  <si>
    <t>откл.в/учет от г/п</t>
  </si>
  <si>
    <t>изм.апрель</t>
  </si>
  <si>
    <t>изм.апр.2015</t>
  </si>
  <si>
    <t>51 0 1133</t>
  </si>
  <si>
    <t>Взносы Клетнянского района в уставные капиталы муниципальных унитарных предприятий</t>
  </si>
  <si>
    <t>1133</t>
  </si>
  <si>
    <t>Полномочия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</si>
  <si>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51 0 7106</t>
  </si>
  <si>
    <t>7106</t>
  </si>
  <si>
    <t>2227</t>
  </si>
  <si>
    <t>51 0 2227</t>
  </si>
  <si>
    <t>Полномочия бюджетам поселений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</si>
  <si>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</si>
  <si>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53 0 1599</t>
  </si>
  <si>
    <t>1599</t>
  </si>
  <si>
    <t xml:space="preserve">14 </t>
  </si>
  <si>
    <t>Распределение дотаций на поддержку мер по обеспечению сбалансированности бюджетов поселений из бюджета муниципального образования "Клетнянский муниципальный  район" на 2015 год</t>
  </si>
  <si>
    <t xml:space="preserve">План на 2016 год </t>
  </si>
  <si>
    <t xml:space="preserve">План на 2017 год </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</si>
  <si>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плановый период 2016 и 2017 годов</t>
  </si>
  <si>
    <t xml:space="preserve">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</si>
  <si>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 xml:space="preserve">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</si>
  <si>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Утвержденный план на 2015 год</t>
  </si>
  <si>
    <t>Утвержденный план на 2016 год</t>
  </si>
  <si>
    <t>Утвержденный план на 2017 год</t>
  </si>
  <si>
    <t>Прогнозируемые доходы бюджета муниципального образования "Клетнянский муниципальный район" на 2015 год</t>
  </si>
  <si>
    <t>Распределение бюджетных ассигнований на 2015 год по ведомственной структуре расходов бюджета муниципального образования "Клетнянский муниципальный район"</t>
  </si>
  <si>
    <t>Приложение 8</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</si>
  <si>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2015 год</t>
  </si>
  <si>
    <t>План на 2017 год</t>
  </si>
  <si>
    <t>Таблица 7</t>
  </si>
  <si>
    <t>Таблица 9</t>
  </si>
  <si>
    <t>Распределение иных межбюджетных трансфертов бюджетам поселений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2015 год</t>
  </si>
  <si>
    <t>Таблица 8</t>
  </si>
  <si>
    <t>Распределение иных межбюджетных трансфертов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муниципального образования "Клетнянский муниципальный  район" на 2015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</si>
</sst>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_ ;[Red]\-#,##0.00\ "/>
    <numFmt numFmtId="166" formatCode="#,##0_ ;[Red]\-#,##0\ "/>
    <numFmt numFmtId="167" formatCode="0.000"/>
    <numFmt numFmtId="168" formatCode="0.0"/>
    <numFmt numFmtId="169" formatCode="0.00000"/>
  </numFmts>
  <fonts count="49" x14ac:knownFonts="1">
    <font>
      <sz val="11"/>
      <color theme="1"/>
      <name val="Calibri"/>
      <family val="2"/>
      <scheme val="minor"/>
    </font>
    <font>
      <sz val="9"/>
      <name val="Arial"/>
      <family val="2"/>
      <charset val="204"/>
    </font>
    <font>
      <sz val="9"/>
      <color theme="1"/>
      <name val="Arial"/>
      <family val="2"/>
      <charset val="204"/>
    </font>
    <font>
      <sz val="9"/>
      <color rgb="FF000000"/>
      <name val="Arial"/>
      <family val="2"/>
      <charset val="204"/>
    </font>
    <font>
      <sz val="9"/>
      <color rgb="FFFF0000"/>
      <name val="Arial"/>
      <family val="2"/>
      <charset val="204"/>
    </font>
    <font>
      <b/>
      <u/>
      <sz val="9"/>
      <name val="Arial"/>
      <family val="2"/>
      <charset val="204"/>
    </font>
    <font>
      <b/>
      <u/>
      <sz val="9"/>
      <color rgb="FFFF0000"/>
      <name val="Arial"/>
      <family val="2"/>
      <charset val="204"/>
    </font>
    <font>
      <b/>
      <sz val="9"/>
      <name val="Arial"/>
      <family val="2"/>
      <charset val="204"/>
    </font>
    <font>
      <b/>
      <sz val="9"/>
      <color rgb="FFFF0000"/>
      <name val="Arial"/>
      <family val="2"/>
      <charset val="204"/>
    </font>
    <font>
      <b/>
      <i/>
      <sz val="9"/>
      <name val="Arial"/>
      <family val="2"/>
      <charset val="204"/>
    </font>
    <font>
      <sz val="9"/>
      <color rgb="FFFF5050"/>
      <name val="Arial"/>
      <family val="2"/>
      <charset val="204"/>
    </font>
    <font>
      <b/>
      <sz val="9"/>
      <color rgb="FF000000"/>
      <name val="Arial"/>
      <family val="2"/>
      <charset val="204"/>
    </font>
    <font>
      <b/>
      <sz val="9"/>
      <color theme="1"/>
      <name val="Arial"/>
      <family val="2"/>
      <charset val="204"/>
    </font>
    <font>
      <sz val="9"/>
      <color theme="0"/>
      <name val="Arial"/>
      <family val="2"/>
      <charset val="204"/>
    </font>
    <font>
      <sz val="8"/>
      <color theme="1"/>
      <name val="Arial"/>
      <family val="2"/>
      <charset val="204"/>
    </font>
    <font>
      <sz val="8"/>
      <color rgb="FFFF0000"/>
      <name val="Arial"/>
      <family val="2"/>
      <charset val="204"/>
    </font>
    <font>
      <sz val="10"/>
      <name val="Times New Roman Cyr"/>
      <charset val="204"/>
    </font>
    <font>
      <u/>
      <sz val="10"/>
      <name val="Arial"/>
      <family val="2"/>
      <charset val="204"/>
    </font>
    <font>
      <sz val="10"/>
      <name val="Arial"/>
      <family val="2"/>
      <charset val="204"/>
    </font>
    <font>
      <sz val="8"/>
      <name val="Arial"/>
      <family val="2"/>
      <charset val="204"/>
    </font>
    <font>
      <i/>
      <sz val="8"/>
      <name val="Arial"/>
      <family val="2"/>
      <charset val="204"/>
    </font>
    <font>
      <b/>
      <sz val="12"/>
      <name val="Arial"/>
      <family val="2"/>
      <charset val="204"/>
    </font>
    <font>
      <sz val="12"/>
      <name val="Arial"/>
      <family val="2"/>
      <charset val="204"/>
    </font>
    <font>
      <b/>
      <sz val="12"/>
      <color indexed="59"/>
      <name val="Arial"/>
      <family val="2"/>
      <charset val="204"/>
    </font>
    <font>
      <b/>
      <sz val="10"/>
      <name val="Arial"/>
      <family val="2"/>
      <charset val="204"/>
    </font>
    <font>
      <b/>
      <u/>
      <sz val="9"/>
      <color rgb="FF000000"/>
      <name val="Arial"/>
      <family val="2"/>
      <charset val="204"/>
    </font>
    <font>
      <sz val="7"/>
      <color theme="1"/>
      <name val="Arial"/>
      <family val="2"/>
      <charset val="204"/>
    </font>
    <font>
      <b/>
      <u/>
      <sz val="12"/>
      <name val="Arial"/>
      <family val="2"/>
      <charset val="204"/>
    </font>
    <font>
      <b/>
      <sz val="11"/>
      <name val="Arial"/>
      <family val="2"/>
      <charset val="204"/>
    </font>
    <font>
      <sz val="10"/>
      <color theme="1"/>
      <name val="Arial"/>
      <family val="2"/>
      <charset val="204"/>
    </font>
    <font>
      <u/>
      <sz val="11"/>
      <color theme="10"/>
      <name val="Calibri"/>
      <family val="2"/>
      <scheme val="minor"/>
    </font>
    <font>
      <sz val="11"/>
      <color theme="1"/>
      <name val="Arial"/>
      <family val="2"/>
      <charset val="204"/>
    </font>
    <font>
      <sz val="12"/>
      <color theme="1"/>
      <name val="Arial"/>
      <family val="2"/>
      <charset val="204"/>
    </font>
    <font>
      <b/>
      <sz val="10"/>
      <color theme="1"/>
      <name val="Arial"/>
      <family val="2"/>
      <charset val="204"/>
    </font>
    <font>
      <sz val="14"/>
      <color theme="1"/>
      <name val="Times New Roman"/>
      <family val="1"/>
      <charset val="204"/>
    </font>
    <font>
      <sz val="10"/>
      <color indexed="10"/>
      <name val="Arial"/>
      <family val="2"/>
      <charset val="204"/>
    </font>
    <font>
      <sz val="8"/>
      <name val="Arial Cyr"/>
      <charset val="204"/>
    </font>
    <font>
      <sz val="9"/>
      <name val="Arial Cyr"/>
      <charset val="204"/>
    </font>
    <font>
      <sz val="10"/>
      <color indexed="12"/>
      <name val="Arial"/>
      <family val="2"/>
      <charset val="204"/>
    </font>
    <font>
      <b/>
      <sz val="11"/>
      <color theme="1"/>
      <name val="Calibri"/>
      <family val="2"/>
      <scheme val="minor"/>
    </font>
    <font>
      <sz val="10"/>
      <color rgb="FFFF0000"/>
      <name val="Arial"/>
      <family val="2"/>
      <charset val="204"/>
    </font>
    <font>
      <sz val="9"/>
      <color theme="1"/>
      <name val="Calibri"/>
      <family val="2"/>
      <scheme val="minor"/>
    </font>
    <font>
      <b/>
      <sz val="9"/>
      <color rgb="FFFF5050"/>
      <name val="Arial"/>
      <family val="2"/>
      <charset val="204"/>
    </font>
    <font>
      <u/>
      <sz val="9"/>
      <name val="Arial"/>
      <family val="2"/>
      <charset val="204"/>
    </font>
    <font>
      <sz val="11"/>
      <name val="Arial"/>
      <family val="2"/>
      <charset val="204"/>
    </font>
    <font>
      <b/>
      <sz val="11"/>
      <color indexed="59"/>
      <name val="Arial"/>
      <family val="2"/>
      <charset val="204"/>
    </font>
    <font>
      <sz val="11"/>
      <color rgb="FFFF0000"/>
      <name val="Arial"/>
      <family val="2"/>
      <charset val="204"/>
    </font>
    <font>
      <b/>
      <sz val="10"/>
      <color indexed="59"/>
      <name val="Arial"/>
      <family val="2"/>
      <charset val="204"/>
    </font>
    <font>
      <u/>
      <sz val="11"/>
      <name val="Arial"/>
      <family val="2"/>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s>
  <cellStyleXfs count="3">
    <xf numFmtId="0" fontId="0" fillId="0" borderId="0"/>
    <xf numFmtId="0" fontId="16" fillId="0" borderId="0"/>
    <xf numFmtId="0" fontId="30" fillId="0" borderId="0" applyNumberFormat="0" applyFill="0" applyBorder="0" applyAlignment="0" applyProtection="0"/>
  </cellStyleXfs>
  <cellXfs count="636">
    <xf numFmtId="0" fontId="0" fillId="0" borderId="0" xfId="0"/>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vertical="top"/>
    </xf>
    <xf numFmtId="0" fontId="2" fillId="0" borderId="0" xfId="0" applyFont="1"/>
    <xf numFmtId="0" fontId="1" fillId="0" borderId="4" xfId="0" applyFont="1" applyFill="1" applyBorder="1" applyAlignment="1">
      <alignment vertical="top"/>
    </xf>
    <xf numFmtId="0" fontId="1" fillId="0" borderId="4" xfId="0" applyFont="1" applyFill="1" applyBorder="1" applyAlignment="1">
      <alignment horizontal="center" vertical="top"/>
    </xf>
    <xf numFmtId="0" fontId="1" fillId="0" borderId="0" xfId="0" applyFont="1" applyFill="1" applyAlignment="1">
      <alignment vertical="top"/>
    </xf>
    <xf numFmtId="49" fontId="5" fillId="0" borderId="1" xfId="0" applyNumberFormat="1" applyFont="1" applyFill="1" applyBorder="1" applyAlignment="1">
      <alignment horizontal="center" vertical="top"/>
    </xf>
    <xf numFmtId="49" fontId="6" fillId="0" borderId="1" xfId="0" applyNumberFormat="1" applyFont="1" applyFill="1" applyBorder="1" applyAlignment="1">
      <alignment horizontal="center" vertical="top"/>
    </xf>
    <xf numFmtId="4" fontId="5" fillId="0" borderId="1" xfId="0" applyNumberFormat="1" applyFont="1" applyFill="1" applyBorder="1" applyAlignment="1">
      <alignment vertical="top"/>
    </xf>
    <xf numFmtId="4" fontId="1" fillId="0" borderId="0" xfId="0" applyNumberFormat="1" applyFont="1" applyFill="1" applyAlignment="1">
      <alignment vertical="top"/>
    </xf>
    <xf numFmtId="0" fontId="5" fillId="0" borderId="0" xfId="0" applyFont="1" applyFill="1" applyAlignment="1">
      <alignment vertical="top"/>
    </xf>
    <xf numFmtId="49" fontId="7" fillId="0" borderId="1" xfId="0" applyNumberFormat="1" applyFont="1" applyFill="1" applyBorder="1" applyAlignment="1">
      <alignment horizontal="center" vertical="top"/>
    </xf>
    <xf numFmtId="49" fontId="8" fillId="0" borderId="1" xfId="0" applyNumberFormat="1" applyFont="1" applyFill="1" applyBorder="1" applyAlignment="1">
      <alignment horizontal="center" vertical="top"/>
    </xf>
    <xf numFmtId="4" fontId="7" fillId="0" borderId="1" xfId="0" applyNumberFormat="1" applyFont="1" applyFill="1" applyBorder="1" applyAlignment="1">
      <alignment vertical="top"/>
    </xf>
    <xf numFmtId="0" fontId="7" fillId="0" borderId="0" xfId="0" applyFont="1" applyFill="1" applyAlignment="1">
      <alignment vertical="top"/>
    </xf>
    <xf numFmtId="4" fontId="7" fillId="0" borderId="0" xfId="0" applyNumberFormat="1" applyFont="1" applyFill="1" applyAlignment="1">
      <alignment vertical="top"/>
    </xf>
    <xf numFmtId="0" fontId="1" fillId="0" borderId="1" xfId="0" applyFont="1" applyFill="1" applyBorder="1" applyAlignment="1">
      <alignment vertical="top"/>
    </xf>
    <xf numFmtId="0" fontId="7"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top" wrapText="1"/>
    </xf>
    <xf numFmtId="0" fontId="4" fillId="0" borderId="1" xfId="0" applyFont="1" applyFill="1" applyBorder="1" applyAlignment="1">
      <alignment vertical="top"/>
    </xf>
    <xf numFmtId="49" fontId="7"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 fontId="1" fillId="0" borderId="1" xfId="0" applyNumberFormat="1" applyFont="1" applyFill="1" applyBorder="1" applyAlignment="1">
      <alignment vertical="top" wrapText="1"/>
    </xf>
    <xf numFmtId="4" fontId="7" fillId="0" borderId="1" xfId="0" applyNumberFormat="1" applyFont="1" applyFill="1" applyBorder="1" applyAlignment="1">
      <alignment horizontal="right" vertical="top"/>
    </xf>
    <xf numFmtId="0" fontId="1" fillId="0" borderId="0" xfId="0" applyFont="1" applyFill="1" applyAlignment="1">
      <alignment vertical="top" wrapText="1"/>
    </xf>
    <xf numFmtId="0" fontId="9" fillId="0" borderId="0" xfId="0" applyFont="1" applyFill="1" applyAlignment="1">
      <alignment vertical="top"/>
    </xf>
    <xf numFmtId="0" fontId="7"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49" fontId="1" fillId="0" borderId="8" xfId="0" applyNumberFormat="1" applyFont="1" applyFill="1" applyBorder="1" applyAlignment="1">
      <alignment horizontal="center" vertical="top"/>
    </xf>
    <xf numFmtId="0" fontId="4" fillId="0" borderId="0" xfId="0" applyFont="1" applyFill="1" applyAlignment="1">
      <alignment vertical="top"/>
    </xf>
    <xf numFmtId="0" fontId="1" fillId="0" borderId="3" xfId="0" applyFont="1" applyFill="1" applyBorder="1" applyAlignment="1">
      <alignment horizontal="center" vertical="top"/>
    </xf>
    <xf numFmtId="0" fontId="5"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0"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wrapText="1"/>
    </xf>
    <xf numFmtId="0" fontId="3" fillId="0" borderId="5"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top" wrapText="1"/>
    </xf>
    <xf numFmtId="49" fontId="8" fillId="0" borderId="1" xfId="0" applyNumberFormat="1" applyFont="1" applyFill="1" applyBorder="1" applyAlignment="1">
      <alignment horizontal="left" vertical="top" wrapText="1"/>
    </xf>
    <xf numFmtId="4" fontId="7" fillId="0" borderId="1" xfId="0" applyNumberFormat="1"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9" fontId="10" fillId="0" borderId="1" xfId="0" applyNumberFormat="1" applyFont="1" applyFill="1" applyBorder="1" applyAlignment="1">
      <alignment horizontal="center" vertical="top"/>
    </xf>
    <xf numFmtId="0" fontId="5" fillId="0" borderId="6" xfId="0" applyFont="1" applyFill="1" applyBorder="1" applyAlignment="1">
      <alignment horizontal="center" vertical="top"/>
    </xf>
    <xf numFmtId="0" fontId="1" fillId="0" borderId="6" xfId="0" applyFont="1" applyFill="1" applyBorder="1" applyAlignment="1">
      <alignment horizontal="left" vertical="top" wrapText="1"/>
    </xf>
    <xf numFmtId="0" fontId="11" fillId="0" borderId="9" xfId="0" applyFont="1" applyFill="1" applyBorder="1" applyAlignment="1">
      <alignment vertical="top" wrapText="1"/>
    </xf>
    <xf numFmtId="0" fontId="1" fillId="0" borderId="6" xfId="0" applyFont="1" applyFill="1" applyBorder="1" applyAlignment="1">
      <alignment vertical="top" wrapText="1"/>
    </xf>
    <xf numFmtId="0" fontId="2" fillId="0" borderId="1" xfId="0" applyFont="1" applyBorder="1" applyAlignment="1">
      <alignment vertical="top" wrapText="1"/>
    </xf>
    <xf numFmtId="0" fontId="17" fillId="0" borderId="0" xfId="1" applyFont="1" applyFill="1"/>
    <xf numFmtId="0" fontId="18" fillId="0" borderId="0" xfId="1" applyFont="1" applyFill="1"/>
    <xf numFmtId="0" fontId="19" fillId="0" borderId="0" xfId="0" applyFont="1" applyAlignment="1">
      <alignment horizontal="left" vertical="top" wrapText="1"/>
    </xf>
    <xf numFmtId="0" fontId="18" fillId="0" borderId="0" xfId="0" applyFont="1"/>
    <xf numFmtId="49" fontId="19" fillId="0" borderId="0" xfId="0" applyNumberFormat="1" applyFont="1" applyFill="1" applyAlignment="1">
      <alignment horizontal="left" vertical="top" wrapText="1"/>
    </xf>
    <xf numFmtId="49" fontId="20" fillId="0" borderId="0" xfId="0" applyNumberFormat="1" applyFont="1" applyFill="1" applyAlignment="1">
      <alignment horizontal="left" vertical="top" wrapText="1"/>
    </xf>
    <xf numFmtId="0" fontId="22" fillId="0" borderId="0" xfId="1" applyFont="1" applyFill="1" applyBorder="1" applyAlignment="1">
      <alignment horizontal="center" wrapText="1"/>
    </xf>
    <xf numFmtId="0" fontId="18" fillId="0" borderId="0" xfId="1" applyFont="1" applyFill="1" applyAlignment="1">
      <alignment horizontal="center" vertical="center" wrapText="1"/>
    </xf>
    <xf numFmtId="0" fontId="18" fillId="0" borderId="0" xfId="1" applyFont="1" applyFill="1" applyAlignment="1">
      <alignment horizontal="center" vertical="top" wrapText="1"/>
    </xf>
    <xf numFmtId="0" fontId="18" fillId="0" borderId="0" xfId="0" applyFont="1" applyAlignment="1">
      <alignment horizontal="center" vertical="top" wrapText="1"/>
    </xf>
    <xf numFmtId="0" fontId="22" fillId="0" borderId="1" xfId="1" applyFont="1" applyFill="1" applyBorder="1" applyAlignment="1">
      <alignment horizontal="center"/>
    </xf>
    <xf numFmtId="0" fontId="22" fillId="0" borderId="1" xfId="1" applyFont="1" applyFill="1" applyBorder="1"/>
    <xf numFmtId="165" fontId="22" fillId="0" borderId="1" xfId="1" applyNumberFormat="1" applyFont="1" applyFill="1" applyBorder="1" applyAlignment="1">
      <alignment horizontal="center"/>
    </xf>
    <xf numFmtId="0" fontId="21" fillId="0" borderId="1" xfId="0" applyFont="1" applyBorder="1"/>
    <xf numFmtId="0" fontId="23" fillId="0" borderId="1" xfId="1" applyFont="1" applyFill="1" applyBorder="1" applyAlignment="1"/>
    <xf numFmtId="165" fontId="21" fillId="0" borderId="1" xfId="1" applyNumberFormat="1" applyFont="1" applyFill="1" applyBorder="1" applyAlignment="1">
      <alignment horizontal="center"/>
    </xf>
    <xf numFmtId="0" fontId="21" fillId="0" borderId="0" xfId="1" applyFont="1" applyFill="1"/>
    <xf numFmtId="0" fontId="21" fillId="0" borderId="0" xfId="0" applyFont="1"/>
    <xf numFmtId="0" fontId="17" fillId="0" borderId="0" xfId="1" applyFont="1" applyFill="1" applyAlignment="1">
      <alignment horizontal="center" vertical="center"/>
    </xf>
    <xf numFmtId="0" fontId="18" fillId="0" borderId="0" xfId="1" applyFont="1" applyFill="1" applyAlignment="1">
      <alignment horizontal="center" vertical="center"/>
    </xf>
    <xf numFmtId="0" fontId="18" fillId="0" borderId="0" xfId="0" applyFont="1" applyAlignment="1">
      <alignment horizontal="center" vertical="center"/>
    </xf>
    <xf numFmtId="0"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12" fillId="0" borderId="0" xfId="0" applyFont="1" applyAlignment="1">
      <alignment vertical="top"/>
    </xf>
    <xf numFmtId="0" fontId="7" fillId="0" borderId="1" xfId="0" applyFont="1" applyBorder="1" applyAlignment="1">
      <alignment vertical="top" wrapText="1"/>
    </xf>
    <xf numFmtId="4" fontId="2" fillId="0" borderId="1" xfId="0" applyNumberFormat="1" applyFont="1" applyFill="1" applyBorder="1" applyAlignment="1">
      <alignment vertical="top"/>
    </xf>
    <xf numFmtId="0" fontId="2" fillId="0" borderId="0" xfId="0" applyFont="1" applyFill="1" applyAlignment="1">
      <alignment vertical="top"/>
    </xf>
    <xf numFmtId="4" fontId="7" fillId="0" borderId="1" xfId="0" applyNumberFormat="1" applyFont="1" applyFill="1" applyBorder="1" applyAlignment="1">
      <alignment vertical="top" wrapText="1"/>
    </xf>
    <xf numFmtId="0" fontId="11" fillId="0" borderId="5" xfId="0" applyFont="1" applyFill="1" applyBorder="1" applyAlignment="1">
      <alignment horizontal="center" vertical="top" wrapText="1"/>
    </xf>
    <xf numFmtId="0" fontId="3" fillId="0" borderId="9" xfId="0" applyFont="1" applyFill="1" applyBorder="1" applyAlignment="1">
      <alignment horizontal="center" vertical="top" wrapText="1"/>
    </xf>
    <xf numFmtId="0" fontId="4" fillId="0" borderId="0" xfId="0" applyFont="1" applyFill="1" applyAlignment="1">
      <alignment horizontal="center" vertical="top"/>
    </xf>
    <xf numFmtId="49" fontId="1" fillId="0" borderId="0" xfId="0" applyNumberFormat="1" applyFont="1" applyFill="1" applyAlignment="1">
      <alignment horizontal="center" vertical="top"/>
    </xf>
    <xf numFmtId="49" fontId="1" fillId="0" borderId="0" xfId="0" applyNumberFormat="1" applyFont="1" applyFill="1" applyAlignment="1">
      <alignment vertical="top"/>
    </xf>
    <xf numFmtId="49" fontId="4" fillId="0" borderId="0" xfId="0" applyNumberFormat="1" applyFont="1" applyFill="1" applyAlignment="1">
      <alignment horizontal="center" vertical="top"/>
    </xf>
    <xf numFmtId="0" fontId="2" fillId="0" borderId="1" xfId="0"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1" xfId="0" applyNumberFormat="1" applyFont="1" applyFill="1" applyBorder="1" applyAlignment="1">
      <alignment horizontal="center" vertical="top" wrapText="1"/>
    </xf>
    <xf numFmtId="4" fontId="12" fillId="0" borderId="1" xfId="0" applyNumberFormat="1" applyFont="1" applyFill="1" applyBorder="1" applyAlignment="1">
      <alignment vertical="top"/>
    </xf>
    <xf numFmtId="0" fontId="2" fillId="0" borderId="1" xfId="0" applyFont="1" applyFill="1" applyBorder="1" applyAlignment="1">
      <alignment vertical="top"/>
    </xf>
    <xf numFmtId="0" fontId="13" fillId="0" borderId="0" xfId="0" applyFont="1" applyFill="1" applyAlignment="1">
      <alignment vertical="top"/>
    </xf>
    <xf numFmtId="49" fontId="13" fillId="0" borderId="0" xfId="0" applyNumberFormat="1" applyFont="1" applyFill="1" applyAlignment="1">
      <alignment horizontal="center" vertical="top"/>
    </xf>
    <xf numFmtId="49" fontId="2" fillId="0" borderId="0" xfId="0" applyNumberFormat="1" applyFont="1" applyFill="1" applyAlignment="1">
      <alignment horizontal="center" vertical="top"/>
    </xf>
    <xf numFmtId="0" fontId="2" fillId="0" borderId="0" xfId="0" applyFont="1" applyFill="1" applyAlignment="1">
      <alignment horizontal="center" vertical="top"/>
    </xf>
    <xf numFmtId="4" fontId="1" fillId="0" borderId="0" xfId="0" applyNumberFormat="1" applyFont="1" applyFill="1" applyBorder="1" applyAlignment="1">
      <alignment vertical="top"/>
    </xf>
    <xf numFmtId="0" fontId="7"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8" fillId="0" borderId="1" xfId="1" applyFont="1" applyFill="1" applyBorder="1" applyAlignment="1">
      <alignment horizontal="center" vertical="top" wrapText="1"/>
    </xf>
    <xf numFmtId="0" fontId="22" fillId="0" borderId="1" xfId="1" applyFont="1" applyFill="1" applyBorder="1" applyAlignment="1">
      <alignment horizontal="center" vertical="center"/>
    </xf>
    <xf numFmtId="0" fontId="22" fillId="0" borderId="1" xfId="1" applyFont="1" applyFill="1" applyBorder="1" applyAlignment="1">
      <alignment vertical="center"/>
    </xf>
    <xf numFmtId="165" fontId="22" fillId="0" borderId="1" xfId="1" applyNumberFormat="1" applyFont="1" applyFill="1" applyBorder="1" applyAlignment="1">
      <alignment horizontal="center" vertical="center"/>
    </xf>
    <xf numFmtId="0" fontId="18" fillId="0" borderId="0" xfId="1" applyFont="1" applyFill="1" applyAlignment="1">
      <alignment vertical="center"/>
    </xf>
    <xf numFmtId="0" fontId="18" fillId="0" borderId="0" xfId="0" applyFont="1" applyAlignment="1">
      <alignment vertical="center"/>
    </xf>
    <xf numFmtId="0" fontId="21" fillId="0" borderId="1" xfId="0" applyFont="1" applyBorder="1" applyAlignment="1">
      <alignment vertical="center"/>
    </xf>
    <xf numFmtId="0" fontId="23" fillId="0" borderId="1" xfId="1" applyFont="1" applyFill="1" applyBorder="1" applyAlignment="1">
      <alignment vertical="center"/>
    </xf>
    <xf numFmtId="165" fontId="21" fillId="0" borderId="1" xfId="1" applyNumberFormat="1" applyFont="1" applyFill="1" applyBorder="1" applyAlignment="1">
      <alignment horizontal="center" vertical="center"/>
    </xf>
    <xf numFmtId="0" fontId="21" fillId="0" borderId="0" xfId="1" applyFont="1" applyFill="1" applyAlignment="1">
      <alignment vertical="center"/>
    </xf>
    <xf numFmtId="0" fontId="21" fillId="0" borderId="0" xfId="0" applyFont="1" applyAlignment="1">
      <alignment vertical="center"/>
    </xf>
    <xf numFmtId="0" fontId="18" fillId="0" borderId="0" xfId="1" applyFont="1" applyFill="1" applyAlignment="1">
      <alignment horizontal="right"/>
    </xf>
    <xf numFmtId="0" fontId="1" fillId="0" borderId="0" xfId="0" applyFont="1" applyFill="1" applyBorder="1" applyAlignment="1">
      <alignment vertical="top"/>
    </xf>
    <xf numFmtId="49" fontId="19" fillId="0" borderId="1" xfId="0" applyNumberFormat="1" applyFont="1" applyFill="1" applyBorder="1" applyAlignment="1">
      <alignment horizontal="center" vertical="top"/>
    </xf>
    <xf numFmtId="0" fontId="1" fillId="0" borderId="0" xfId="0" applyFont="1" applyFill="1" applyBorder="1" applyAlignment="1">
      <alignment horizontal="left" vertical="top" wrapText="1"/>
    </xf>
    <xf numFmtId="4" fontId="1" fillId="0" borderId="3" xfId="0" applyNumberFormat="1" applyFont="1" applyFill="1" applyBorder="1" applyAlignment="1">
      <alignment vertical="top"/>
    </xf>
    <xf numFmtId="49" fontId="18" fillId="0" borderId="1" xfId="0" applyNumberFormat="1" applyFont="1" applyFill="1" applyBorder="1" applyAlignment="1">
      <alignment horizontal="center" vertical="top" wrapText="1"/>
    </xf>
    <xf numFmtId="0" fontId="18" fillId="0" borderId="0" xfId="0" applyFont="1" applyFill="1" applyAlignment="1">
      <alignment vertical="top"/>
    </xf>
    <xf numFmtId="0" fontId="19" fillId="0" borderId="0" xfId="0" applyFont="1" applyFill="1" applyAlignment="1">
      <alignment vertical="top"/>
    </xf>
    <xf numFmtId="0" fontId="7" fillId="0" borderId="9" xfId="0" applyFont="1" applyFill="1" applyBorder="1" applyAlignment="1">
      <alignment vertical="top" wrapText="1"/>
    </xf>
    <xf numFmtId="4" fontId="5" fillId="0" borderId="1" xfId="0" applyNumberFormat="1" applyFont="1" applyFill="1" applyBorder="1" applyAlignment="1">
      <alignment horizontal="right" vertical="top" wrapText="1"/>
    </xf>
    <xf numFmtId="49" fontId="19" fillId="0" borderId="0" xfId="0" applyNumberFormat="1" applyFont="1" applyFill="1" applyAlignment="1">
      <alignment horizontal="left" vertical="top" wrapText="1"/>
    </xf>
    <xf numFmtId="49" fontId="19" fillId="0" borderId="3" xfId="0" applyNumberFormat="1" applyFont="1" applyFill="1" applyBorder="1" applyAlignment="1">
      <alignment horizontal="center" vertical="top"/>
    </xf>
    <xf numFmtId="49" fontId="5" fillId="0" borderId="3"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11" fillId="0" borderId="9" xfId="0" applyFont="1" applyFill="1" applyBorder="1" applyAlignment="1">
      <alignment horizontal="center" vertical="top"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right" vertical="top" wrapText="1"/>
    </xf>
    <xf numFmtId="0" fontId="11" fillId="0" borderId="1" xfId="0" applyFont="1" applyFill="1" applyBorder="1" applyAlignment="1">
      <alignment vertical="top" wrapText="1"/>
    </xf>
    <xf numFmtId="4" fontId="13" fillId="0" borderId="1" xfId="0" applyNumberFormat="1" applyFont="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 fontId="7" fillId="0" borderId="1" xfId="0" applyNumberFormat="1" applyFont="1" applyFill="1" applyBorder="1" applyAlignment="1">
      <alignment vertical="center"/>
    </xf>
    <xf numFmtId="0" fontId="1" fillId="0" borderId="0" xfId="0" applyFont="1" applyFill="1" applyAlignment="1">
      <alignment vertical="center"/>
    </xf>
    <xf numFmtId="0" fontId="7" fillId="0" borderId="5"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9" xfId="0" applyFont="1" applyFill="1" applyBorder="1" applyAlignment="1">
      <alignment horizontal="center" vertical="top" wrapText="1"/>
    </xf>
    <xf numFmtId="0" fontId="19" fillId="0" borderId="0" xfId="0" applyFont="1"/>
    <xf numFmtId="0" fontId="19" fillId="0" borderId="0" xfId="0" applyFont="1" applyFill="1" applyAlignment="1">
      <alignment horizontal="left" vertical="top" wrapText="1"/>
    </xf>
    <xf numFmtId="0" fontId="22" fillId="0" borderId="0" xfId="0" applyFont="1"/>
    <xf numFmtId="0" fontId="27" fillId="0" borderId="0" xfId="1" applyFont="1" applyFill="1"/>
    <xf numFmtId="0" fontId="21" fillId="0" borderId="0" xfId="1" applyFont="1" applyFill="1" applyBorder="1" applyAlignment="1">
      <alignment vertical="center" wrapText="1"/>
    </xf>
    <xf numFmtId="0" fontId="22" fillId="0" borderId="0" xfId="1" applyFont="1" applyFill="1"/>
    <xf numFmtId="0" fontId="21" fillId="0" borderId="0" xfId="1" applyFont="1" applyFill="1" applyBorder="1" applyAlignment="1">
      <alignment horizontal="center" wrapText="1"/>
    </xf>
    <xf numFmtId="0" fontId="21" fillId="0" borderId="0" xfId="1" applyFont="1" applyFill="1" applyBorder="1" applyAlignment="1">
      <alignment wrapText="1"/>
    </xf>
    <xf numFmtId="0" fontId="23" fillId="0" borderId="0" xfId="1" applyFont="1" applyFill="1" applyBorder="1" applyAlignment="1">
      <alignment horizontal="center"/>
    </xf>
    <xf numFmtId="166" fontId="23" fillId="0" borderId="0" xfId="1" applyNumberFormat="1" applyFont="1" applyFill="1" applyBorder="1"/>
    <xf numFmtId="0" fontId="19" fillId="0" borderId="1" xfId="0" applyFont="1" applyFill="1" applyBorder="1" applyAlignment="1">
      <alignment horizontal="center" vertical="top" wrapText="1"/>
    </xf>
    <xf numFmtId="0" fontId="31" fillId="0" borderId="0" xfId="0" applyFont="1"/>
    <xf numFmtId="0" fontId="29" fillId="0" borderId="0" xfId="0" applyFont="1"/>
    <xf numFmtId="0" fontId="29" fillId="0" borderId="10" xfId="0" applyFont="1" applyBorder="1" applyAlignment="1">
      <alignment horizontal="center" vertical="center" wrapText="1"/>
    </xf>
    <xf numFmtId="0" fontId="32" fillId="0" borderId="0" xfId="0" applyFont="1" applyAlignment="1">
      <alignment horizontal="center"/>
    </xf>
    <xf numFmtId="0" fontId="32" fillId="0" borderId="0" xfId="0" applyFont="1"/>
    <xf numFmtId="0" fontId="18" fillId="0" borderId="0" xfId="0" applyFont="1" applyAlignment="1">
      <alignment vertical="top"/>
    </xf>
    <xf numFmtId="0" fontId="24" fillId="0" borderId="3" xfId="0" applyFont="1" applyBorder="1" applyAlignment="1">
      <alignment horizontal="left" vertical="center" wrapText="1"/>
    </xf>
    <xf numFmtId="0" fontId="18" fillId="0" borderId="1" xfId="0" applyFont="1" applyBorder="1" applyAlignment="1">
      <alignment vertical="center"/>
    </xf>
    <xf numFmtId="0" fontId="18" fillId="0" borderId="1" xfId="0" applyFont="1" applyBorder="1" applyAlignment="1">
      <alignment vertical="top" wrapText="1"/>
    </xf>
    <xf numFmtId="9" fontId="18" fillId="0" borderId="1" xfId="0" applyNumberFormat="1" applyFont="1" applyBorder="1" applyAlignment="1">
      <alignment vertical="top"/>
    </xf>
    <xf numFmtId="0" fontId="18" fillId="0" borderId="1" xfId="0" applyFont="1" applyBorder="1" applyAlignment="1">
      <alignment vertical="top"/>
    </xf>
    <xf numFmtId="0" fontId="24" fillId="0" borderId="3" xfId="0" applyFont="1" applyBorder="1" applyAlignment="1">
      <alignment vertical="top" wrapText="1"/>
    </xf>
    <xf numFmtId="0" fontId="18" fillId="0" borderId="3" xfId="0" applyFont="1" applyBorder="1" applyAlignment="1">
      <alignment vertical="top" wrapText="1"/>
    </xf>
    <xf numFmtId="0" fontId="24" fillId="0" borderId="1" xfId="0" applyFont="1" applyBorder="1" applyAlignment="1">
      <alignment vertical="center" wrapText="1"/>
    </xf>
    <xf numFmtId="9" fontId="18" fillId="0" borderId="1" xfId="0" applyNumberFormat="1" applyFont="1" applyBorder="1" applyAlignment="1">
      <alignment vertical="center"/>
    </xf>
    <xf numFmtId="49" fontId="18" fillId="0" borderId="0" xfId="0" applyNumberFormat="1" applyFont="1" applyAlignment="1">
      <alignment vertical="top" wrapText="1"/>
    </xf>
    <xf numFmtId="49" fontId="19" fillId="0" borderId="0" xfId="0" applyNumberFormat="1" applyFont="1" applyAlignment="1">
      <alignment vertical="top" wrapText="1"/>
    </xf>
    <xf numFmtId="49" fontId="18" fillId="0" borderId="0" xfId="0" applyNumberFormat="1" applyFont="1" applyFill="1" applyBorder="1" applyAlignment="1">
      <alignment vertical="top" wrapText="1"/>
    </xf>
    <xf numFmtId="0" fontId="18" fillId="0" borderId="0" xfId="0" applyFont="1" applyAlignment="1">
      <alignment vertical="top" wrapText="1"/>
    </xf>
    <xf numFmtId="0" fontId="18" fillId="0" borderId="1" xfId="0" applyFont="1" applyBorder="1" applyAlignment="1">
      <alignment horizontal="left" vertical="top" wrapText="1"/>
    </xf>
    <xf numFmtId="0" fontId="29" fillId="0" borderId="0" xfId="0" applyFont="1" applyAlignment="1">
      <alignment vertical="top" wrapText="1"/>
    </xf>
    <xf numFmtId="0" fontId="29" fillId="0" borderId="0" xfId="0" applyFont="1" applyAlignment="1">
      <alignment horizontal="center"/>
    </xf>
    <xf numFmtId="0" fontId="18" fillId="2" borderId="1" xfId="0" applyFont="1" applyFill="1" applyBorder="1" applyAlignment="1">
      <alignment horizontal="center" vertical="top" wrapText="1"/>
    </xf>
    <xf numFmtId="0" fontId="26" fillId="0" borderId="0" xfId="0" applyFont="1" applyAlignment="1">
      <alignment vertical="top" wrapText="1"/>
    </xf>
    <xf numFmtId="0" fontId="29" fillId="0" borderId="1" xfId="0" applyFont="1" applyBorder="1" applyAlignment="1">
      <alignment horizontal="justify" vertical="center" wrapText="1"/>
    </xf>
    <xf numFmtId="0" fontId="18" fillId="0" borderId="1" xfId="2" applyFont="1" applyBorder="1" applyAlignment="1">
      <alignment horizontal="justify" vertical="center" wrapText="1"/>
    </xf>
    <xf numFmtId="0" fontId="18" fillId="0" borderId="1" xfId="0" applyFont="1" applyBorder="1" applyAlignment="1">
      <alignment horizontal="justify" vertical="center" wrapText="1"/>
    </xf>
    <xf numFmtId="0" fontId="29" fillId="0" borderId="1" xfId="0" applyFont="1" applyBorder="1" applyAlignment="1">
      <alignment vertical="center" wrapText="1"/>
    </xf>
    <xf numFmtId="0" fontId="34" fillId="0" borderId="0" xfId="0" applyFont="1" applyAlignment="1">
      <alignment horizontal="justify" vertical="center"/>
    </xf>
    <xf numFmtId="49" fontId="20" fillId="0" borderId="0" xfId="0" applyNumberFormat="1" applyFont="1" applyAlignment="1">
      <alignment vertical="top" wrapText="1"/>
    </xf>
    <xf numFmtId="0" fontId="19" fillId="0" borderId="0" xfId="0" applyFont="1" applyAlignment="1">
      <alignment vertical="top" wrapText="1"/>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35"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Alignment="1">
      <alignment horizontal="center" vertical="center" wrapText="1"/>
    </xf>
    <xf numFmtId="0" fontId="18" fillId="0" borderId="0" xfId="0" applyFont="1" applyBorder="1" applyAlignment="1">
      <alignment vertical="top" wrapText="1"/>
    </xf>
    <xf numFmtId="0" fontId="36" fillId="0" borderId="0" xfId="0" applyFont="1" applyFill="1" applyBorder="1" applyAlignment="1">
      <alignment horizontal="left" vertical="top" wrapText="1"/>
    </xf>
    <xf numFmtId="49" fontId="36" fillId="0" borderId="0" xfId="0" applyNumberFormat="1" applyFont="1" applyFill="1" applyBorder="1" applyAlignment="1">
      <alignment horizontal="center" vertical="top" shrinkToFit="1"/>
    </xf>
    <xf numFmtId="49" fontId="37" fillId="0" borderId="0" xfId="0" applyNumberFormat="1" applyFont="1" applyFill="1" applyBorder="1" applyAlignment="1">
      <alignment horizontal="center" vertical="top" shrinkToFit="1"/>
    </xf>
    <xf numFmtId="0" fontId="18" fillId="0" borderId="0" xfId="0" applyFont="1" applyFill="1" applyAlignment="1">
      <alignment horizontal="center" vertical="top"/>
    </xf>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horizontal="right"/>
    </xf>
    <xf numFmtId="164" fontId="18" fillId="0" borderId="1" xfId="0" applyNumberFormat="1" applyFont="1" applyFill="1" applyBorder="1" applyAlignment="1">
      <alignment horizontal="center" vertical="top" wrapText="1"/>
    </xf>
    <xf numFmtId="0" fontId="24" fillId="0" borderId="1" xfId="0" applyFont="1" applyFill="1" applyBorder="1" applyAlignment="1">
      <alignment horizontal="center" vertical="center" wrapText="1"/>
    </xf>
    <xf numFmtId="164" fontId="24" fillId="0" borderId="1" xfId="0" applyNumberFormat="1" applyFont="1" applyFill="1" applyBorder="1" applyAlignment="1">
      <alignment horizontal="center" vertical="center" wrapText="1"/>
    </xf>
    <xf numFmtId="0" fontId="24" fillId="0" borderId="0" xfId="0" applyFont="1" applyFill="1" applyAlignment="1">
      <alignment vertical="center"/>
    </xf>
    <xf numFmtId="167" fontId="18" fillId="0" borderId="0" xfId="0" applyNumberFormat="1" applyFont="1" applyFill="1" applyAlignment="1">
      <alignment vertical="top" wrapText="1"/>
    </xf>
    <xf numFmtId="0" fontId="35" fillId="0" borderId="0" xfId="0" applyFont="1" applyFill="1" applyAlignment="1">
      <alignment vertical="top" wrapText="1"/>
    </xf>
    <xf numFmtId="0" fontId="38" fillId="0" borderId="0" xfId="0" applyFont="1" applyFill="1" applyAlignment="1">
      <alignment vertical="top" wrapText="1"/>
    </xf>
    <xf numFmtId="0" fontId="4"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1" fillId="0" borderId="5" xfId="0" applyFont="1" applyFill="1" applyBorder="1" applyAlignment="1">
      <alignment vertical="top" wrapText="1"/>
    </xf>
    <xf numFmtId="0" fontId="1" fillId="0" borderId="5" xfId="0" applyFont="1" applyFill="1" applyBorder="1" applyAlignment="1">
      <alignment horizontal="left" vertical="center" wrapText="1"/>
    </xf>
    <xf numFmtId="0" fontId="1" fillId="0" borderId="7" xfId="0" applyFont="1" applyFill="1" applyBorder="1" applyAlignment="1">
      <alignment horizontal="center" vertical="top"/>
    </xf>
    <xf numFmtId="0" fontId="2" fillId="0" borderId="1" xfId="0" applyFont="1" applyBorder="1" applyAlignment="1">
      <alignment vertical="top"/>
    </xf>
    <xf numFmtId="4" fontId="2" fillId="0" borderId="0" xfId="0" applyNumberFormat="1" applyFont="1" applyFill="1" applyBorder="1" applyAlignment="1">
      <alignment vertical="top"/>
    </xf>
    <xf numFmtId="0" fontId="18" fillId="0" borderId="0" xfId="0" applyFont="1" applyFill="1" applyAlignment="1">
      <alignment horizontal="center" vertical="top" wrapText="1"/>
    </xf>
    <xf numFmtId="4" fontId="13" fillId="0" borderId="1" xfId="0" applyNumberFormat="1" applyFont="1" applyFill="1" applyBorder="1" applyAlignment="1">
      <alignment vertical="top" wrapText="1"/>
    </xf>
    <xf numFmtId="0" fontId="1" fillId="0" borderId="1" xfId="0" applyFont="1" applyFill="1" applyBorder="1" applyAlignment="1">
      <alignment horizontal="center" wrapText="1"/>
    </xf>
    <xf numFmtId="0" fontId="1" fillId="0" borderId="0" xfId="0" applyFont="1" applyFill="1" applyAlignment="1">
      <alignment wrapText="1"/>
    </xf>
    <xf numFmtId="0" fontId="1" fillId="0" borderId="1" xfId="0" applyFont="1" applyFill="1" applyBorder="1" applyAlignment="1">
      <alignment wrapText="1"/>
    </xf>
    <xf numFmtId="49" fontId="1" fillId="0" borderId="4" xfId="0" applyNumberFormat="1" applyFont="1" applyFill="1" applyBorder="1" applyAlignment="1">
      <alignment vertical="top"/>
    </xf>
    <xf numFmtId="49" fontId="1" fillId="0" borderId="4" xfId="0" applyNumberFormat="1" applyFont="1" applyFill="1" applyBorder="1" applyAlignment="1">
      <alignment horizontal="center" vertical="top"/>
    </xf>
    <xf numFmtId="49" fontId="19" fillId="0" borderId="0" xfId="0" applyNumberFormat="1" applyFont="1" applyFill="1" applyAlignment="1">
      <alignment vertical="top" wrapText="1"/>
    </xf>
    <xf numFmtId="0" fontId="19" fillId="0" borderId="1" xfId="0" applyFont="1" applyFill="1" applyBorder="1" applyAlignment="1">
      <alignment horizontal="center" vertical="top" wrapText="1"/>
    </xf>
    <xf numFmtId="0" fontId="19" fillId="0" borderId="0" xfId="0" applyFont="1" applyFill="1" applyAlignment="1">
      <alignment horizontal="center" vertical="top" wrapText="1"/>
    </xf>
    <xf numFmtId="0" fontId="1" fillId="0" borderId="3" xfId="0" applyFont="1" applyFill="1" applyBorder="1" applyAlignment="1">
      <alignment vertical="top"/>
    </xf>
    <xf numFmtId="0" fontId="31" fillId="0" borderId="0" xfId="0" applyFont="1" applyAlignment="1">
      <alignment horizontal="center"/>
    </xf>
    <xf numFmtId="0" fontId="13" fillId="0" borderId="0" xfId="0" applyFont="1" applyFill="1" applyAlignment="1">
      <alignment horizontal="center" vertical="top"/>
    </xf>
    <xf numFmtId="4" fontId="13" fillId="0" borderId="0" xfId="0" applyNumberFormat="1" applyFont="1" applyFill="1" applyAlignment="1">
      <alignment vertical="top"/>
    </xf>
    <xf numFmtId="4" fontId="2" fillId="0" borderId="0" xfId="0" applyNumberFormat="1" applyFont="1" applyFill="1" applyAlignment="1">
      <alignment vertical="top"/>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center" wrapText="1"/>
    </xf>
    <xf numFmtId="0" fontId="18" fillId="0" borderId="0" xfId="0" applyFont="1" applyAlignment="1">
      <alignment horizontal="center"/>
    </xf>
    <xf numFmtId="0" fontId="1" fillId="0" borderId="1" xfId="0" applyFont="1" applyFill="1" applyBorder="1" applyAlignment="1">
      <alignment horizontal="right" vertical="top"/>
    </xf>
    <xf numFmtId="0" fontId="1" fillId="0" borderId="1" xfId="0" applyFont="1" applyBorder="1" applyAlignment="1">
      <alignment horizontal="right" vertical="top"/>
    </xf>
    <xf numFmtId="0" fontId="7" fillId="0" borderId="1" xfId="0" applyFont="1" applyBorder="1" applyAlignment="1">
      <alignment horizontal="right" vertical="top"/>
    </xf>
    <xf numFmtId="0" fontId="1" fillId="0" borderId="1" xfId="0" applyFont="1" applyBorder="1" applyAlignment="1">
      <alignment horizontal="left" vertical="top" wrapText="1"/>
    </xf>
    <xf numFmtId="4" fontId="7" fillId="0" borderId="1" xfId="0" applyNumberFormat="1" applyFont="1" applyFill="1" applyBorder="1" applyAlignment="1">
      <alignment vertical="center" wrapText="1"/>
    </xf>
    <xf numFmtId="0" fontId="12" fillId="0" borderId="0" xfId="0" applyFont="1" applyAlignment="1">
      <alignment vertical="center"/>
    </xf>
    <xf numFmtId="49" fontId="1" fillId="0" borderId="0" xfId="0" applyNumberFormat="1" applyFont="1" applyFill="1" applyAlignment="1">
      <alignment vertical="center"/>
    </xf>
    <xf numFmtId="0" fontId="5" fillId="0" borderId="1" xfId="0" applyFont="1" applyFill="1" applyBorder="1" applyAlignment="1">
      <alignment vertical="top"/>
    </xf>
    <xf numFmtId="49" fontId="19" fillId="4" borderId="1" xfId="0" applyNumberFormat="1" applyFont="1" applyFill="1" applyBorder="1" applyAlignment="1">
      <alignment horizontal="center" vertical="top"/>
    </xf>
    <xf numFmtId="49" fontId="1" fillId="4" borderId="1" xfId="0" applyNumberFormat="1" applyFont="1" applyFill="1" applyBorder="1" applyAlignment="1">
      <alignment horizontal="center"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8" fillId="0" borderId="1" xfId="0" applyFont="1" applyBorder="1" applyAlignment="1">
      <alignment horizontal="center" vertical="top" wrapText="1"/>
    </xf>
    <xf numFmtId="0" fontId="18" fillId="0" borderId="1" xfId="0" applyFont="1" applyFill="1" applyBorder="1" applyAlignment="1">
      <alignment horizontal="center" vertical="top" wrapText="1"/>
    </xf>
    <xf numFmtId="0" fontId="29" fillId="0" borderId="1" xfId="0" applyFont="1" applyBorder="1" applyAlignment="1">
      <alignment horizontal="center" vertical="center" wrapText="1"/>
    </xf>
    <xf numFmtId="0" fontId="7"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3" xfId="0" applyFont="1" applyFill="1" applyBorder="1" applyAlignment="1">
      <alignment vertical="top" wrapText="1"/>
    </xf>
    <xf numFmtId="0" fontId="7" fillId="0" borderId="3" xfId="0" applyFont="1" applyFill="1" applyBorder="1" applyAlignment="1">
      <alignment horizontal="left" vertical="top"/>
    </xf>
    <xf numFmtId="0" fontId="5" fillId="0" borderId="1" xfId="0" applyFont="1" applyFill="1" applyBorder="1" applyAlignment="1">
      <alignment horizontal="left" vertical="top" wrapText="1"/>
    </xf>
    <xf numFmtId="0" fontId="7" fillId="0" borderId="1" xfId="0" applyFont="1" applyFill="1" applyBorder="1" applyAlignment="1">
      <alignment vertical="top"/>
    </xf>
    <xf numFmtId="0" fontId="19" fillId="0" borderId="1" xfId="0" applyFont="1" applyFill="1" applyBorder="1" applyAlignment="1">
      <alignment horizontal="center" vertical="top" wrapText="1"/>
    </xf>
    <xf numFmtId="0" fontId="7" fillId="0" borderId="1" xfId="0" applyFont="1" applyFill="1" applyBorder="1" applyAlignment="1">
      <alignment vertical="top" wrapText="1"/>
    </xf>
    <xf numFmtId="0" fontId="1" fillId="0" borderId="1" xfId="0" applyFont="1" applyFill="1" applyBorder="1" applyAlignment="1">
      <alignment horizontal="center"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1" fillId="0" borderId="4" xfId="0" applyFont="1" applyFill="1" applyBorder="1" applyAlignment="1">
      <alignment horizontal="center" vertical="top"/>
    </xf>
    <xf numFmtId="0" fontId="18" fillId="0" borderId="1" xfId="1" applyFont="1" applyFill="1" applyBorder="1" applyAlignment="1">
      <alignment horizontal="center" vertical="top" wrapText="1"/>
    </xf>
    <xf numFmtId="0" fontId="18" fillId="0" borderId="1" xfId="0" applyFont="1" applyFill="1" applyBorder="1" applyAlignment="1">
      <alignment vertical="top" wrapText="1"/>
    </xf>
    <xf numFmtId="0" fontId="7" fillId="0" borderId="9" xfId="0" applyFont="1" applyFill="1" applyBorder="1" applyAlignment="1">
      <alignment horizontal="center" vertical="top" wrapText="1"/>
    </xf>
    <xf numFmtId="167" fontId="1" fillId="0" borderId="0" xfId="0" applyNumberFormat="1" applyFont="1" applyFill="1" applyAlignment="1">
      <alignment vertical="top"/>
    </xf>
    <xf numFmtId="0" fontId="14" fillId="0" borderId="0" xfId="0" applyFont="1" applyFill="1" applyBorder="1" applyAlignment="1">
      <alignment horizontal="left" vertical="top"/>
    </xf>
    <xf numFmtId="0" fontId="14" fillId="0" borderId="0" xfId="0" applyFont="1" applyFill="1" applyBorder="1" applyAlignment="1">
      <alignment horizontal="center" vertical="top"/>
    </xf>
    <xf numFmtId="0" fontId="15" fillId="0" borderId="0" xfId="0" applyFont="1" applyFill="1" applyBorder="1" applyAlignment="1">
      <alignment vertical="top"/>
    </xf>
    <xf numFmtId="0" fontId="19" fillId="0" borderId="0" xfId="0" applyFont="1" applyFill="1" applyBorder="1" applyAlignment="1">
      <alignment vertical="top"/>
    </xf>
    <xf numFmtId="4" fontId="5" fillId="0" borderId="3" xfId="0" applyNumberFormat="1" applyFont="1" applyFill="1" applyBorder="1" applyAlignment="1">
      <alignment horizontal="right" vertical="top" wrapText="1"/>
    </xf>
    <xf numFmtId="4" fontId="5" fillId="0" borderId="3" xfId="0" applyNumberFormat="1" applyFont="1" applyFill="1" applyBorder="1" applyAlignment="1">
      <alignment vertical="top"/>
    </xf>
    <xf numFmtId="4" fontId="7" fillId="0" borderId="3" xfId="0" applyNumberFormat="1" applyFont="1" applyFill="1" applyBorder="1" applyAlignment="1">
      <alignment vertical="top"/>
    </xf>
    <xf numFmtId="4" fontId="1" fillId="0" borderId="3" xfId="0" applyNumberFormat="1" applyFont="1" applyFill="1" applyBorder="1" applyAlignment="1">
      <alignment vertical="top" wrapText="1"/>
    </xf>
    <xf numFmtId="4" fontId="1" fillId="0" borderId="3" xfId="0" applyNumberFormat="1" applyFont="1" applyFill="1" applyBorder="1" applyAlignment="1">
      <alignment horizontal="right" vertical="top" wrapText="1"/>
    </xf>
    <xf numFmtId="4" fontId="3" fillId="0" borderId="9" xfId="0" applyNumberFormat="1" applyFont="1" applyFill="1" applyBorder="1" applyAlignment="1">
      <alignment horizontal="right" vertical="top" wrapText="1"/>
    </xf>
    <xf numFmtId="49" fontId="29" fillId="0" borderId="1" xfId="0" applyNumberFormat="1" applyFont="1" applyBorder="1" applyAlignment="1">
      <alignment horizontal="center" vertical="center" wrapText="1"/>
    </xf>
    <xf numFmtId="0" fontId="19" fillId="0" borderId="0" xfId="0" applyFont="1" applyFill="1" applyBorder="1" applyAlignment="1">
      <alignment vertical="top" wrapText="1"/>
    </xf>
    <xf numFmtId="0" fontId="40" fillId="0" borderId="0" xfId="1" applyFont="1" applyFill="1" applyAlignment="1">
      <alignment vertical="center"/>
    </xf>
    <xf numFmtId="0" fontId="18" fillId="0" borderId="10" xfId="1" applyFont="1" applyFill="1" applyBorder="1" applyAlignment="1">
      <alignment horizontal="center" vertical="top" wrapText="1"/>
    </xf>
    <xf numFmtId="0" fontId="7" fillId="0" borderId="0" xfId="0" applyFont="1" applyFill="1" applyAlignment="1">
      <alignment horizontal="center" vertical="top"/>
    </xf>
    <xf numFmtId="0" fontId="0" fillId="0" borderId="0" xfId="0" applyFill="1" applyAlignment="1">
      <alignment vertical="top"/>
    </xf>
    <xf numFmtId="0" fontId="1" fillId="0" borderId="5" xfId="0" applyFont="1" applyFill="1" applyBorder="1" applyAlignment="1">
      <alignment horizontal="left" vertical="top" wrapText="1"/>
    </xf>
    <xf numFmtId="4" fontId="2" fillId="0" borderId="0" xfId="0" applyNumberFormat="1" applyFont="1" applyAlignment="1">
      <alignment vertical="top"/>
    </xf>
    <xf numFmtId="49" fontId="1" fillId="0" borderId="1" xfId="0" applyNumberFormat="1" applyFont="1" applyFill="1" applyBorder="1" applyAlignment="1">
      <alignment vertical="top"/>
    </xf>
    <xf numFmtId="0" fontId="1" fillId="0" borderId="1" xfId="0" applyFont="1" applyFill="1" applyBorder="1" applyAlignment="1">
      <alignment horizontal="center" vertical="top" wrapText="1"/>
    </xf>
    <xf numFmtId="0" fontId="0" fillId="0" borderId="0" xfId="0" applyFill="1"/>
    <xf numFmtId="0" fontId="0" fillId="0" borderId="0" xfId="0" applyFill="1" applyAlignment="1">
      <alignment horizontal="center"/>
    </xf>
    <xf numFmtId="0" fontId="41" fillId="0" borderId="0" xfId="0" applyFont="1" applyFill="1"/>
    <xf numFmtId="0" fontId="19" fillId="0" borderId="0" xfId="0" applyFont="1" applyFill="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8" fillId="0" borderId="1" xfId="0" applyFont="1" applyBorder="1" applyAlignment="1">
      <alignment horizontal="center"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vertical="top" wrapText="1"/>
    </xf>
    <xf numFmtId="0" fontId="1" fillId="0" borderId="1" xfId="0" applyFont="1" applyFill="1" applyBorder="1" applyAlignment="1">
      <alignment horizontal="left" vertical="top"/>
    </xf>
    <xf numFmtId="0" fontId="19" fillId="0" borderId="1" xfId="0" applyFont="1" applyFill="1" applyBorder="1" applyAlignment="1">
      <alignment horizontal="center" vertical="top" wrapText="1"/>
    </xf>
    <xf numFmtId="0" fontId="7"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18" fillId="0" borderId="1" xfId="0" applyFont="1" applyFill="1" applyBorder="1" applyAlignment="1">
      <alignment vertical="top" wrapText="1"/>
    </xf>
    <xf numFmtId="0" fontId="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4" xfId="0" applyFont="1" applyFill="1" applyBorder="1" applyAlignment="1">
      <alignment horizontal="center" vertical="top"/>
    </xf>
    <xf numFmtId="0" fontId="31" fillId="0" borderId="0" xfId="0" applyFont="1" applyFill="1"/>
    <xf numFmtId="4" fontId="1" fillId="0" borderId="0" xfId="0" applyNumberFormat="1" applyFont="1" applyFill="1" applyAlignment="1">
      <alignment horizontal="right" vertical="top"/>
    </xf>
    <xf numFmtId="4" fontId="1" fillId="0" borderId="8" xfId="0" applyNumberFormat="1" applyFont="1" applyFill="1" applyBorder="1" applyAlignment="1">
      <alignment vertical="top"/>
    </xf>
    <xf numFmtId="49" fontId="42" fillId="0" borderId="1" xfId="0" applyNumberFormat="1" applyFont="1" applyFill="1" applyBorder="1" applyAlignment="1">
      <alignment horizontal="center" vertical="top"/>
    </xf>
    <xf numFmtId="164" fontId="7" fillId="0" borderId="1" xfId="0" applyNumberFormat="1" applyFont="1" applyFill="1" applyBorder="1" applyAlignment="1">
      <alignment vertical="top"/>
    </xf>
    <xf numFmtId="0" fontId="24" fillId="0" borderId="0" xfId="0" applyFont="1" applyFill="1" applyBorder="1" applyAlignment="1">
      <alignment vertical="center"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 fontId="7" fillId="0" borderId="0" xfId="0" applyNumberFormat="1" applyFont="1" applyFill="1" applyBorder="1" applyAlignment="1">
      <alignment vertical="center"/>
    </xf>
    <xf numFmtId="0" fontId="1" fillId="0" borderId="0" xfId="0" applyFont="1" applyFill="1" applyAlignment="1">
      <alignment horizontal="righ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3" xfId="0" applyFont="1" applyFill="1" applyBorder="1" applyAlignment="1">
      <alignment vertical="top" wrapText="1"/>
    </xf>
    <xf numFmtId="0" fontId="7" fillId="0" borderId="3" xfId="0" applyFont="1" applyFill="1" applyBorder="1" applyAlignment="1">
      <alignment horizontal="left" vertical="top"/>
    </xf>
    <xf numFmtId="0" fontId="5" fillId="0" borderId="1" xfId="0" applyFont="1" applyFill="1" applyBorder="1" applyAlignment="1">
      <alignment horizontal="left" vertical="top" wrapText="1"/>
    </xf>
    <xf numFmtId="0" fontId="7" fillId="0" borderId="1" xfId="0" applyFont="1" applyFill="1" applyBorder="1" applyAlignment="1">
      <alignment vertical="top" wrapText="1"/>
    </xf>
    <xf numFmtId="0" fontId="19"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7" fillId="0" borderId="1" xfId="0" applyFont="1" applyFill="1" applyBorder="1" applyAlignment="1">
      <alignment horizontal="left" vertical="top" wrapText="1"/>
    </xf>
    <xf numFmtId="0" fontId="5"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7" fillId="0" borderId="1" xfId="0" applyFont="1" applyFill="1" applyBorder="1" applyAlignment="1">
      <alignment vertical="top"/>
    </xf>
    <xf numFmtId="0" fontId="5" fillId="0" borderId="2" xfId="0" applyFont="1" applyFill="1" applyBorder="1" applyAlignment="1">
      <alignment horizontal="center" vertical="top" wrapText="1"/>
    </xf>
    <xf numFmtId="0" fontId="1" fillId="5" borderId="0" xfId="0" applyFont="1" applyFill="1" applyAlignment="1">
      <alignment vertical="top"/>
    </xf>
    <xf numFmtId="0" fontId="1" fillId="3" borderId="0" xfId="0" applyFont="1" applyFill="1" applyAlignment="1">
      <alignment vertical="top"/>
    </xf>
    <xf numFmtId="4" fontId="1" fillId="3" borderId="0" xfId="0" applyNumberFormat="1" applyFont="1" applyFill="1" applyAlignment="1">
      <alignment vertical="top"/>
    </xf>
    <xf numFmtId="4" fontId="1" fillId="5" borderId="0" xfId="0" applyNumberFormat="1" applyFont="1" applyFill="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7" fillId="0" borderId="3" xfId="0" applyFont="1" applyFill="1" applyBorder="1" applyAlignment="1">
      <alignment horizontal="left" vertical="top"/>
    </xf>
    <xf numFmtId="0" fontId="1" fillId="0" borderId="3" xfId="0" applyFont="1" applyFill="1" applyBorder="1" applyAlignment="1">
      <alignmen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vertical="top"/>
    </xf>
    <xf numFmtId="0" fontId="5" fillId="0" borderId="1" xfId="0" applyFont="1" applyFill="1" applyBorder="1" applyAlignment="1">
      <alignment horizontal="center" vertical="top" wrapText="1"/>
    </xf>
    <xf numFmtId="0" fontId="7" fillId="0" borderId="1" xfId="0" applyFont="1" applyFill="1" applyBorder="1" applyAlignment="1">
      <alignment vertical="top" wrapText="1"/>
    </xf>
    <xf numFmtId="0" fontId="5" fillId="0" borderId="1" xfId="0" applyFont="1" applyFill="1" applyBorder="1" applyAlignment="1">
      <alignment horizontal="center" vertical="top"/>
    </xf>
    <xf numFmtId="0" fontId="19"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wrapText="1"/>
    </xf>
    <xf numFmtId="0" fontId="43"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8" fillId="0" borderId="1" xfId="0" applyFont="1" applyFill="1" applyBorder="1" applyAlignment="1">
      <alignment horizontal="center" vertical="top" wrapText="1"/>
    </xf>
    <xf numFmtId="0" fontId="1" fillId="0" borderId="3" xfId="0" applyFont="1" applyFill="1" applyBorder="1" applyAlignment="1">
      <alignment horizontal="left" vertical="top" wrapText="1"/>
    </xf>
    <xf numFmtId="0" fontId="7"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3" xfId="0" applyFont="1" applyFill="1" applyBorder="1" applyAlignment="1">
      <alignmen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vertical="top"/>
    </xf>
    <xf numFmtId="0" fontId="7" fillId="0" borderId="1" xfId="0" applyFont="1" applyFill="1" applyBorder="1" applyAlignment="1">
      <alignment vertical="top" wrapText="1"/>
    </xf>
    <xf numFmtId="0" fontId="18" fillId="0" borderId="1" xfId="0" applyFont="1" applyFill="1" applyBorder="1" applyAlignment="1">
      <alignment vertical="top" wrapText="1"/>
    </xf>
    <xf numFmtId="4" fontId="4" fillId="0" borderId="1" xfId="0" applyNumberFormat="1"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7" fillId="0" borderId="1" xfId="0" applyFont="1" applyFill="1" applyBorder="1" applyAlignment="1">
      <alignment vertical="top"/>
    </xf>
    <xf numFmtId="0" fontId="24" fillId="0" borderId="1" xfId="0" applyFont="1" applyFill="1" applyBorder="1" applyAlignment="1">
      <alignment horizontal="center" vertical="top" wrapText="1"/>
    </xf>
    <xf numFmtId="0" fontId="24" fillId="0" borderId="1" xfId="0" applyFont="1" applyFill="1" applyBorder="1" applyAlignment="1">
      <alignment vertical="top" wrapText="1"/>
    </xf>
    <xf numFmtId="49" fontId="1" fillId="2" borderId="10" xfId="0" applyNumberFormat="1" applyFont="1" applyFill="1" applyBorder="1" applyAlignment="1">
      <alignment horizontal="center" vertical="top" wrapText="1" shrinkToFit="1"/>
    </xf>
    <xf numFmtId="0" fontId="1" fillId="0" borderId="1" xfId="0" applyFont="1" applyBorder="1" applyAlignment="1">
      <alignment horizontal="center" vertical="top" wrapText="1"/>
    </xf>
    <xf numFmtId="0" fontId="7" fillId="0" borderId="1" xfId="0" applyFont="1" applyBorder="1" applyAlignment="1">
      <alignment vertical="top"/>
    </xf>
    <xf numFmtId="4" fontId="7" fillId="0" borderId="1" xfId="0" applyNumberFormat="1" applyFont="1" applyBorder="1" applyAlignment="1">
      <alignment vertical="top"/>
    </xf>
    <xf numFmtId="0" fontId="1" fillId="0" borderId="0" xfId="0" applyFont="1" applyAlignment="1">
      <alignment vertical="top"/>
    </xf>
    <xf numFmtId="4" fontId="1" fillId="2" borderId="1" xfId="0" applyNumberFormat="1" applyFont="1" applyFill="1" applyBorder="1" applyAlignment="1">
      <alignment vertical="top"/>
    </xf>
    <xf numFmtId="4" fontId="1" fillId="0" borderId="1" xfId="0" applyNumberFormat="1" applyFont="1" applyBorder="1" applyAlignment="1">
      <alignment vertical="top"/>
    </xf>
    <xf numFmtId="4" fontId="7" fillId="2" borderId="1" xfId="0" applyNumberFormat="1" applyFont="1" applyFill="1" applyBorder="1" applyAlignment="1">
      <alignment vertical="top" wrapText="1"/>
    </xf>
    <xf numFmtId="4" fontId="1" fillId="2" borderId="1" xfId="0" applyNumberFormat="1" applyFont="1" applyFill="1" applyBorder="1" applyAlignment="1">
      <alignment vertical="top" wrapText="1"/>
    </xf>
    <xf numFmtId="4" fontId="1" fillId="0" borderId="1" xfId="0" applyNumberFormat="1" applyFont="1" applyBorder="1" applyAlignment="1">
      <alignment vertical="top" wrapText="1"/>
    </xf>
    <xf numFmtId="4" fontId="7" fillId="0" borderId="1" xfId="0" applyNumberFormat="1" applyFont="1" applyBorder="1" applyAlignment="1">
      <alignment vertical="top" wrapText="1"/>
    </xf>
    <xf numFmtId="0" fontId="1" fillId="0" borderId="1" xfId="0" applyFont="1" applyFill="1" applyBorder="1" applyAlignment="1">
      <alignment vertical="top" wrapText="1"/>
    </xf>
    <xf numFmtId="0" fontId="1" fillId="0" borderId="3" xfId="0" applyFont="1" applyFill="1" applyBorder="1" applyAlignment="1">
      <alignment vertical="top" wrapText="1"/>
    </xf>
    <xf numFmtId="0" fontId="1" fillId="0" borderId="1" xfId="0" applyFont="1" applyFill="1" applyBorder="1" applyAlignment="1">
      <alignment vertical="top" wrapText="1"/>
    </xf>
    <xf numFmtId="0" fontId="1" fillId="0" borderId="3" xfId="0" applyFont="1" applyFill="1" applyBorder="1" applyAlignment="1">
      <alignment vertical="top" wrapText="1"/>
    </xf>
    <xf numFmtId="0" fontId="1" fillId="0" borderId="0" xfId="0" applyFont="1" applyFill="1" applyAlignment="1">
      <alignment horizontal="left" vertical="top"/>
    </xf>
    <xf numFmtId="0" fontId="18" fillId="0" borderId="1" xfId="0" applyFont="1" applyFill="1" applyBorder="1" applyAlignment="1">
      <alignment horizontal="center" vertical="top" wrapText="1"/>
    </xf>
    <xf numFmtId="0" fontId="18"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7" fillId="0" borderId="1" xfId="0" applyFont="1" applyFill="1" applyBorder="1" applyAlignment="1">
      <alignment horizontal="left" vertical="top" wrapText="1"/>
    </xf>
    <xf numFmtId="0" fontId="18" fillId="0" borderId="1" xfId="0" applyFont="1" applyFill="1" applyBorder="1" applyAlignment="1">
      <alignment vertical="top" wrapText="1"/>
    </xf>
    <xf numFmtId="0" fontId="19" fillId="0" borderId="1" xfId="0" applyFont="1" applyFill="1" applyBorder="1" applyAlignment="1">
      <alignment horizontal="center" vertical="top" wrapText="1"/>
    </xf>
    <xf numFmtId="168" fontId="2" fillId="0" borderId="0" xfId="0" applyNumberFormat="1" applyFont="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1" fillId="0" borderId="1" xfId="0" applyFont="1" applyFill="1" applyBorder="1" applyAlignment="1">
      <alignment vertical="top" wrapText="1"/>
    </xf>
    <xf numFmtId="0" fontId="7" fillId="0" borderId="1" xfId="0" applyFont="1" applyFill="1" applyBorder="1" applyAlignment="1">
      <alignment vertical="top"/>
    </xf>
    <xf numFmtId="0" fontId="19" fillId="0" borderId="1" xfId="0" applyFont="1" applyFill="1" applyBorder="1" applyAlignment="1">
      <alignment horizontal="center" vertical="top" wrapText="1"/>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center" wrapText="1"/>
    </xf>
    <xf numFmtId="0" fontId="18" fillId="0" borderId="10" xfId="1" applyFont="1" applyFill="1" applyBorder="1" applyAlignment="1">
      <alignment horizontal="center" vertical="center" wrapText="1"/>
    </xf>
    <xf numFmtId="49"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13" fillId="0" borderId="1" xfId="0" applyFont="1" applyFill="1" applyBorder="1" applyAlignment="1">
      <alignment vertical="top"/>
    </xf>
    <xf numFmtId="49" fontId="13" fillId="0" borderId="1" xfId="0" applyNumberFormat="1" applyFont="1" applyFill="1" applyBorder="1" applyAlignment="1">
      <alignment horizontal="center" vertical="top"/>
    </xf>
    <xf numFmtId="49" fontId="13" fillId="0" borderId="1" xfId="0" applyNumberFormat="1" applyFont="1" applyFill="1" applyBorder="1" applyAlignment="1">
      <alignment vertical="top"/>
    </xf>
    <xf numFmtId="49" fontId="2" fillId="0" borderId="1" xfId="0" applyNumberFormat="1" applyFont="1" applyFill="1" applyBorder="1" applyAlignment="1">
      <alignment vertical="top"/>
    </xf>
    <xf numFmtId="0" fontId="9" fillId="0" borderId="1" xfId="0" applyFont="1" applyFill="1" applyBorder="1" applyAlignment="1">
      <alignment vertical="top"/>
    </xf>
    <xf numFmtId="2" fontId="1" fillId="0" borderId="1" xfId="0" applyNumberFormat="1" applyFont="1" applyFill="1" applyBorder="1" applyAlignment="1">
      <alignment vertical="top"/>
    </xf>
    <xf numFmtId="0" fontId="44" fillId="0" borderId="1" xfId="1" applyFont="1" applyFill="1" applyBorder="1" applyAlignment="1">
      <alignment horizontal="center" vertical="center"/>
    </xf>
    <xf numFmtId="0" fontId="44" fillId="0" borderId="1" xfId="1" applyFont="1" applyFill="1" applyBorder="1" applyAlignment="1">
      <alignment vertical="center"/>
    </xf>
    <xf numFmtId="165" fontId="44" fillId="0" borderId="1" xfId="1" applyNumberFormat="1" applyFont="1" applyFill="1" applyBorder="1" applyAlignment="1">
      <alignment horizontal="center" vertical="center"/>
    </xf>
    <xf numFmtId="0" fontId="44" fillId="0" borderId="0" xfId="0" applyFont="1" applyAlignment="1">
      <alignment vertical="center"/>
    </xf>
    <xf numFmtId="0" fontId="28" fillId="0" borderId="1" xfId="0" applyFont="1" applyBorder="1" applyAlignment="1">
      <alignment vertical="center"/>
    </xf>
    <xf numFmtId="0" fontId="45" fillId="0" borderId="1" xfId="1" applyFont="1" applyFill="1" applyBorder="1" applyAlignment="1">
      <alignment vertical="center"/>
    </xf>
    <xf numFmtId="165" fontId="28" fillId="0" borderId="1" xfId="1" applyNumberFormat="1" applyFont="1" applyFill="1" applyBorder="1" applyAlignment="1">
      <alignment horizontal="center" vertical="center"/>
    </xf>
    <xf numFmtId="0" fontId="28" fillId="0" borderId="0" xfId="0" applyFont="1" applyAlignment="1">
      <alignment vertical="center"/>
    </xf>
    <xf numFmtId="165" fontId="44" fillId="0" borderId="1" xfId="0" applyNumberFormat="1" applyFont="1" applyBorder="1" applyAlignment="1">
      <alignment horizontal="center" vertical="center"/>
    </xf>
    <xf numFmtId="4" fontId="44" fillId="0" borderId="0" xfId="0" applyNumberFormat="1" applyFont="1" applyAlignment="1">
      <alignment vertical="center"/>
    </xf>
    <xf numFmtId="165" fontId="18" fillId="0" borderId="0" xfId="0" applyNumberFormat="1" applyFont="1" applyAlignment="1">
      <alignment horizontal="center" vertical="top" wrapText="1"/>
    </xf>
    <xf numFmtId="4" fontId="46" fillId="0" borderId="1" xfId="1" applyNumberFormat="1" applyFont="1" applyFill="1" applyBorder="1" applyAlignment="1">
      <alignment horizontal="center" vertical="center"/>
    </xf>
    <xf numFmtId="0" fontId="22" fillId="0" borderId="1" xfId="0" applyFont="1" applyBorder="1" applyAlignment="1">
      <alignment horizontal="center" vertical="center"/>
    </xf>
    <xf numFmtId="165" fontId="22" fillId="0" borderId="1" xfId="0" applyNumberFormat="1" applyFont="1" applyBorder="1" applyAlignment="1">
      <alignment horizontal="center" vertical="center"/>
    </xf>
    <xf numFmtId="165" fontId="18" fillId="0" borderId="0" xfId="0" applyNumberFormat="1" applyFont="1" applyAlignment="1">
      <alignment vertical="center"/>
    </xf>
    <xf numFmtId="2" fontId="18" fillId="0" borderId="0" xfId="0" applyNumberFormat="1" applyFont="1" applyAlignment="1">
      <alignment vertical="center"/>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4" fontId="18" fillId="0" borderId="0" xfId="0" quotePrefix="1" applyNumberFormat="1" applyFont="1" applyFill="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169" fontId="1" fillId="0" borderId="0" xfId="0" applyNumberFormat="1" applyFont="1" applyFill="1" applyAlignment="1">
      <alignment vertical="top"/>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49" fontId="19" fillId="0" borderId="0" xfId="0" applyNumberFormat="1" applyFont="1" applyFill="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vertical="top"/>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center" wrapText="1"/>
    </xf>
    <xf numFmtId="0" fontId="19" fillId="0" borderId="0" xfId="0" applyFont="1" applyAlignment="1">
      <alignment horizontal="left" vertical="top" wrapText="1"/>
    </xf>
    <xf numFmtId="0" fontId="18" fillId="0" borderId="1" xfId="0" applyFont="1" applyFill="1" applyBorder="1" applyAlignment="1">
      <alignment vertical="top" wrapText="1"/>
    </xf>
    <xf numFmtId="4" fontId="18" fillId="0" borderId="0" xfId="0" applyNumberFormat="1" applyFont="1" applyFill="1" applyAlignment="1">
      <alignment vertical="top" wrapText="1"/>
    </xf>
    <xf numFmtId="49" fontId="19" fillId="0" borderId="0" xfId="0" applyNumberFormat="1" applyFont="1" applyFill="1" applyAlignment="1">
      <alignment horizontal="left" vertical="top" wrapText="1"/>
    </xf>
    <xf numFmtId="0" fontId="1" fillId="0" borderId="1" xfId="0" applyFont="1" applyFill="1" applyBorder="1" applyAlignment="1">
      <alignment vertical="top" wrapText="1"/>
    </xf>
    <xf numFmtId="0" fontId="7" fillId="0" borderId="1" xfId="0" applyFont="1" applyFill="1" applyBorder="1" applyAlignment="1">
      <alignment horizontal="left" vertical="top"/>
    </xf>
    <xf numFmtId="0" fontId="18" fillId="0" borderId="1" xfId="0" applyFont="1" applyFill="1" applyBorder="1" applyAlignment="1">
      <alignment vertical="top" wrapText="1"/>
    </xf>
    <xf numFmtId="0" fontId="7" fillId="0" borderId="11" xfId="0" applyFont="1" applyFill="1" applyBorder="1" applyAlignment="1">
      <alignment horizontal="center" vertical="top" wrapText="1"/>
    </xf>
    <xf numFmtId="0" fontId="7" fillId="0" borderId="14" xfId="0" applyFont="1" applyFill="1" applyBorder="1" applyAlignment="1">
      <alignment vertical="top" wrapText="1"/>
    </xf>
    <xf numFmtId="0" fontId="18" fillId="0" borderId="1" xfId="0" applyFont="1" applyFill="1" applyBorder="1" applyAlignment="1">
      <alignment horizontal="left" vertical="top" wrapText="1"/>
    </xf>
    <xf numFmtId="49" fontId="18" fillId="0" borderId="1" xfId="0" applyNumberFormat="1" applyFont="1" applyFill="1" applyBorder="1" applyAlignment="1">
      <alignment horizontal="center" vertical="top"/>
    </xf>
    <xf numFmtId="0" fontId="1"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7" fillId="0" borderId="1" xfId="0" applyFont="1" applyFill="1" applyBorder="1" applyAlignment="1">
      <alignment vertical="top"/>
    </xf>
    <xf numFmtId="0" fontId="19" fillId="0" borderId="0" xfId="0" applyFont="1" applyFill="1" applyAlignment="1">
      <alignment vertical="top" wrapText="1"/>
    </xf>
    <xf numFmtId="0" fontId="1" fillId="0" borderId="4" xfId="0" applyFont="1" applyFill="1" applyBorder="1" applyAlignment="1">
      <alignment horizontal="center" vertical="top"/>
    </xf>
    <xf numFmtId="2" fontId="1" fillId="0" borderId="1" xfId="0" applyNumberFormat="1" applyFont="1" applyFill="1" applyBorder="1" applyAlignment="1">
      <alignment wrapText="1"/>
    </xf>
    <xf numFmtId="2" fontId="5" fillId="0" borderId="1" xfId="0" applyNumberFormat="1" applyFont="1" applyFill="1" applyBorder="1" applyAlignment="1">
      <alignment vertical="top"/>
    </xf>
    <xf numFmtId="2" fontId="7" fillId="0" borderId="1" xfId="0" applyNumberFormat="1" applyFont="1" applyFill="1" applyBorder="1" applyAlignment="1">
      <alignment vertical="top"/>
    </xf>
    <xf numFmtId="0" fontId="44" fillId="0" borderId="0" xfId="0" applyFont="1"/>
    <xf numFmtId="0" fontId="44" fillId="0" borderId="0" xfId="0" applyFont="1" applyAlignment="1">
      <alignment horizontal="center"/>
    </xf>
    <xf numFmtId="2" fontId="1" fillId="0" borderId="1" xfId="0" applyNumberFormat="1" applyFont="1" applyFill="1" applyBorder="1" applyAlignment="1">
      <alignment vertical="top" wrapText="1"/>
    </xf>
    <xf numFmtId="49" fontId="19" fillId="0" borderId="0" xfId="0" applyNumberFormat="1" applyFont="1" applyFill="1" applyAlignment="1">
      <alignment horizontal="left" vertical="top" wrapText="1"/>
    </xf>
    <xf numFmtId="0" fontId="19" fillId="0" borderId="1" xfId="0" applyFont="1" applyFill="1" applyBorder="1" applyAlignment="1">
      <alignment horizontal="center" vertical="top" wrapText="1"/>
    </xf>
    <xf numFmtId="0" fontId="19" fillId="0" borderId="0" xfId="0" applyFont="1" applyFill="1" applyAlignment="1">
      <alignment vertical="top" wrapText="1"/>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center" wrapText="1"/>
    </xf>
    <xf numFmtId="0" fontId="19" fillId="0" borderId="0" xfId="0" applyFont="1" applyAlignment="1">
      <alignment horizontal="left" vertical="top" wrapText="1"/>
    </xf>
    <xf numFmtId="49" fontId="1" fillId="0" borderId="0" xfId="0" applyNumberFormat="1" applyFont="1" applyFill="1" applyBorder="1" applyAlignment="1">
      <alignment horizontal="left" vertical="top" wrapText="1"/>
    </xf>
    <xf numFmtId="49" fontId="18" fillId="0" borderId="0" xfId="0" applyNumberFormat="1" applyFont="1" applyFill="1" applyAlignment="1">
      <alignment horizontal="left" vertical="top" wrapText="1"/>
    </xf>
    <xf numFmtId="0" fontId="29" fillId="0" borderId="0" xfId="0" applyFont="1" applyAlignment="1">
      <alignment horizontal="left" vertical="top" wrapText="1"/>
    </xf>
    <xf numFmtId="0" fontId="24" fillId="0" borderId="0" xfId="0" applyFont="1" applyAlignment="1">
      <alignment horizontal="center" vertical="center" wrapText="1"/>
    </xf>
    <xf numFmtId="0" fontId="18" fillId="0" borderId="1" xfId="0" applyFont="1" applyBorder="1" applyAlignment="1">
      <alignment horizontal="center" vertical="top" wrapText="1"/>
    </xf>
    <xf numFmtId="0" fontId="24" fillId="0" borderId="0" xfId="0" applyFont="1" applyAlignment="1">
      <alignment horizontal="center" vertical="top"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wrapText="1"/>
    </xf>
    <xf numFmtId="0" fontId="24" fillId="0" borderId="3" xfId="0" applyFont="1" applyBorder="1" applyAlignment="1">
      <alignment horizontal="center" vertical="center" wrapText="1"/>
    </xf>
    <xf numFmtId="0" fontId="18" fillId="0" borderId="6" xfId="0" applyFont="1" applyBorder="1" applyAlignment="1">
      <alignment horizontal="center" wrapText="1"/>
    </xf>
    <xf numFmtId="0" fontId="18" fillId="0" borderId="2" xfId="0" applyFont="1" applyBorder="1" applyAlignment="1">
      <alignment horizontal="center" wrapText="1"/>
    </xf>
    <xf numFmtId="0" fontId="18" fillId="0" borderId="3" xfId="0" applyFont="1" applyBorder="1" applyAlignment="1">
      <alignment horizontal="center" vertical="top" wrapText="1"/>
    </xf>
    <xf numFmtId="0" fontId="18" fillId="0" borderId="2" xfId="0" applyFont="1" applyBorder="1" applyAlignment="1">
      <alignment horizontal="center" vertical="top" wrapText="1"/>
    </xf>
    <xf numFmtId="0" fontId="18" fillId="0" borderId="1" xfId="0" applyFont="1" applyFill="1" applyBorder="1" applyAlignment="1">
      <alignment horizontal="center" vertical="top" wrapText="1"/>
    </xf>
    <xf numFmtId="0" fontId="18" fillId="0" borderId="3" xfId="0" applyFont="1" applyFill="1" applyBorder="1" applyAlignment="1">
      <alignment horizontal="center" vertical="top" wrapText="1"/>
    </xf>
    <xf numFmtId="0" fontId="18" fillId="0" borderId="2" xfId="0" applyFont="1" applyFill="1" applyBorder="1" applyAlignment="1">
      <alignment horizontal="center" vertical="top" wrapText="1"/>
    </xf>
    <xf numFmtId="0" fontId="24" fillId="0" borderId="6" xfId="0" applyFont="1" applyBorder="1" applyAlignment="1">
      <alignment horizontal="center" vertical="center" wrapText="1"/>
    </xf>
    <xf numFmtId="0" fontId="29" fillId="0" borderId="1" xfId="0" applyFont="1" applyBorder="1" applyAlignment="1">
      <alignment horizontal="center" vertical="top" wrapText="1"/>
    </xf>
    <xf numFmtId="0" fontId="0" fillId="0" borderId="0" xfId="0" applyAlignment="1">
      <alignment horizontal="left" vertical="top" wrapText="1"/>
    </xf>
    <xf numFmtId="0" fontId="18"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8" fillId="0" borderId="1" xfId="0" applyFont="1" applyBorder="1" applyAlignment="1">
      <alignment horizontal="center" wrapText="1"/>
    </xf>
    <xf numFmtId="0" fontId="29" fillId="0" borderId="0" xfId="0" applyFont="1" applyAlignment="1">
      <alignment horizontal="left" vertical="center"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xf>
    <xf numFmtId="0" fontId="29" fillId="0" borderId="6" xfId="0" applyFont="1" applyBorder="1" applyAlignment="1">
      <alignment horizontal="center" vertical="center"/>
    </xf>
    <xf numFmtId="0" fontId="29" fillId="0" borderId="2" xfId="0" applyFont="1" applyBorder="1" applyAlignment="1">
      <alignment horizontal="center" vertical="center"/>
    </xf>
    <xf numFmtId="0" fontId="33" fillId="0" borderId="0" xfId="0" applyFont="1" applyAlignment="1">
      <alignment horizontal="center" vertical="top" wrapText="1"/>
    </xf>
    <xf numFmtId="0" fontId="33" fillId="0" borderId="3" xfId="0" applyFont="1" applyBorder="1" applyAlignment="1">
      <alignment horizontal="center" vertical="center" wrapText="1"/>
    </xf>
    <xf numFmtId="0" fontId="39" fillId="0" borderId="6" xfId="0" applyFont="1" applyBorder="1" applyAlignment="1">
      <alignment vertical="center" wrapText="1"/>
    </xf>
    <xf numFmtId="0" fontId="39" fillId="0" borderId="2" xfId="0" applyFont="1" applyBorder="1" applyAlignment="1">
      <alignment vertical="center" wrapText="1"/>
    </xf>
    <xf numFmtId="0" fontId="29"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0" xfId="0" applyFont="1" applyFill="1" applyBorder="1" applyAlignment="1">
      <alignment horizontal="center" vertical="top" wrapText="1"/>
    </xf>
    <xf numFmtId="0" fontId="19" fillId="0" borderId="0"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11" fillId="0" borderId="3" xfId="0" applyFont="1" applyFill="1" applyBorder="1" applyAlignment="1">
      <alignment horizontal="left" vertical="top" wrapText="1"/>
    </xf>
    <xf numFmtId="0" fontId="11" fillId="0" borderId="2" xfId="0" applyFont="1" applyFill="1" applyBorder="1" applyAlignment="1">
      <alignment horizontal="left" vertical="top" wrapText="1"/>
    </xf>
    <xf numFmtId="0" fontId="7" fillId="0" borderId="3" xfId="0" applyFont="1" applyFill="1" applyBorder="1" applyAlignment="1">
      <alignment horizontal="left" vertical="top"/>
    </xf>
    <xf numFmtId="0" fontId="7" fillId="0" borderId="2" xfId="0" applyFont="1" applyFill="1" applyBorder="1" applyAlignment="1">
      <alignment horizontal="left" vertical="top"/>
    </xf>
    <xf numFmtId="0" fontId="7" fillId="0" borderId="3" xfId="0" applyFont="1" applyFill="1" applyBorder="1" applyAlignment="1">
      <alignment vertical="top"/>
    </xf>
    <xf numFmtId="0" fontId="7" fillId="0" borderId="2" xfId="0" applyFont="1" applyFill="1" applyBorder="1" applyAlignment="1">
      <alignment vertical="top"/>
    </xf>
    <xf numFmtId="0" fontId="18" fillId="0" borderId="3" xfId="0" applyFont="1" applyFill="1" applyBorder="1" applyAlignment="1">
      <alignment horizontal="left" vertical="top" wrapText="1"/>
    </xf>
    <xf numFmtId="0" fontId="18" fillId="0" borderId="2" xfId="0" applyFont="1" applyFill="1" applyBorder="1" applyAlignment="1">
      <alignment horizontal="left" vertical="top" wrapText="1"/>
    </xf>
    <xf numFmtId="0" fontId="19" fillId="0" borderId="3" xfId="0" applyFont="1" applyFill="1" applyBorder="1" applyAlignment="1">
      <alignment horizontal="center" vertical="top" wrapText="1"/>
    </xf>
    <xf numFmtId="0" fontId="19" fillId="0" borderId="2" xfId="0" applyFont="1" applyFill="1" applyBorder="1" applyAlignment="1">
      <alignment horizontal="center" vertical="top" wrapText="1"/>
    </xf>
    <xf numFmtId="0" fontId="12" fillId="0" borderId="6" xfId="0" applyFont="1" applyFill="1" applyBorder="1" applyAlignment="1">
      <alignment horizontal="left" vertical="top" wrapText="1"/>
    </xf>
    <xf numFmtId="0" fontId="12" fillId="0" borderId="2" xfId="0" applyFont="1" applyFill="1" applyBorder="1" applyAlignment="1">
      <alignment horizontal="left" vertical="top" wrapText="1"/>
    </xf>
    <xf numFmtId="0" fontId="1" fillId="0" borderId="3" xfId="0" applyFont="1" applyFill="1" applyBorder="1" applyAlignment="1">
      <alignment horizontal="left" vertical="top"/>
    </xf>
    <xf numFmtId="0" fontId="1" fillId="0" borderId="2" xfId="0" applyFont="1" applyFill="1" applyBorder="1" applyAlignment="1">
      <alignment horizontal="left" vertical="top"/>
    </xf>
    <xf numFmtId="0" fontId="4" fillId="0" borderId="1" xfId="0" applyFont="1" applyFill="1" applyBorder="1" applyAlignment="1">
      <alignment horizontal="left" vertical="top" wrapText="1"/>
    </xf>
    <xf numFmtId="0" fontId="1" fillId="0" borderId="3" xfId="0" applyFont="1" applyFill="1" applyBorder="1" applyAlignment="1">
      <alignment horizontal="left" wrapText="1"/>
    </xf>
    <xf numFmtId="0" fontId="1" fillId="0" borderId="2" xfId="0" applyFont="1" applyFill="1" applyBorder="1" applyAlignment="1">
      <alignment horizontal="left" wrapText="1"/>
    </xf>
    <xf numFmtId="0" fontId="7" fillId="0" borderId="3" xfId="0" applyFont="1" applyFill="1" applyBorder="1" applyAlignment="1">
      <alignment vertical="top" wrapText="1"/>
    </xf>
    <xf numFmtId="0" fontId="7" fillId="0" borderId="2" xfId="0" applyFont="1" applyFill="1" applyBorder="1" applyAlignment="1">
      <alignmen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19"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9" fillId="0" borderId="0" xfId="0" applyFont="1" applyFill="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vertical="top"/>
    </xf>
    <xf numFmtId="0" fontId="24" fillId="0" borderId="0" xfId="0" applyFont="1" applyFill="1" applyBorder="1" applyAlignment="1">
      <alignment horizontal="center" vertical="center" wrapText="1"/>
    </xf>
    <xf numFmtId="49" fontId="19" fillId="0" borderId="0" xfId="0" applyNumberFormat="1" applyFont="1" applyFill="1" applyAlignment="1">
      <alignment horizontal="left" vertical="top" wrapText="1"/>
    </xf>
    <xf numFmtId="0" fontId="19" fillId="0" borderId="0" xfId="0" applyFont="1" applyFill="1" applyAlignment="1">
      <alignment vertical="top" wrapText="1"/>
    </xf>
    <xf numFmtId="0" fontId="2" fillId="0" borderId="1"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1" fillId="0" borderId="4" xfId="0" applyFont="1" applyFill="1" applyBorder="1" applyAlignment="1">
      <alignment horizontal="center" vertical="top"/>
    </xf>
    <xf numFmtId="0" fontId="25" fillId="0" borderId="3" xfId="0" applyFont="1" applyFill="1" applyBorder="1" applyAlignment="1">
      <alignment horizontal="center" vertical="top" wrapText="1"/>
    </xf>
    <xf numFmtId="0" fontId="25" fillId="0" borderId="2" xfId="0" applyFont="1" applyFill="1" applyBorder="1" applyAlignment="1">
      <alignment horizontal="center" vertical="top" wrapText="1"/>
    </xf>
    <xf numFmtId="0" fontId="21" fillId="0" borderId="0" xfId="1" applyFont="1" applyFill="1" applyBorder="1" applyAlignment="1">
      <alignment horizontal="center" vertical="center" wrapText="1"/>
    </xf>
    <xf numFmtId="0" fontId="28" fillId="0" borderId="0" xfId="1" applyFont="1" applyFill="1" applyBorder="1" applyAlignment="1">
      <alignment horizontal="center" vertical="center" wrapText="1"/>
    </xf>
    <xf numFmtId="49" fontId="19" fillId="0" borderId="0" xfId="0" applyNumberFormat="1" applyFont="1" applyAlignment="1">
      <alignment horizontal="left" vertical="top" wrapText="1"/>
    </xf>
    <xf numFmtId="0" fontId="19" fillId="0" borderId="0" xfId="0" applyFont="1" applyAlignment="1">
      <alignment horizontal="left" vertical="top" wrapText="1"/>
    </xf>
    <xf numFmtId="0" fontId="28" fillId="0" borderId="0" xfId="1" applyFont="1" applyFill="1" applyBorder="1" applyAlignment="1">
      <alignment horizontal="center" wrapText="1"/>
    </xf>
    <xf numFmtId="0" fontId="18" fillId="0" borderId="0" xfId="0" applyFont="1" applyFill="1" applyAlignment="1">
      <alignment horizontal="left" vertical="top"/>
    </xf>
    <xf numFmtId="0" fontId="18" fillId="0" borderId="1" xfId="0" applyFont="1" applyFill="1" applyBorder="1" applyAlignment="1">
      <alignment vertical="top" wrapText="1"/>
    </xf>
    <xf numFmtId="0" fontId="24" fillId="0" borderId="1" xfId="0" applyFont="1" applyFill="1" applyBorder="1" applyAlignment="1">
      <alignment vertical="center" wrapText="1"/>
    </xf>
    <xf numFmtId="0" fontId="28" fillId="0" borderId="0" xfId="0" applyFont="1" applyFill="1" applyAlignment="1">
      <alignment horizontal="center" vertical="center" wrapText="1"/>
    </xf>
    <xf numFmtId="49" fontId="1" fillId="0" borderId="0" xfId="0" applyNumberFormat="1" applyFont="1" applyFill="1" applyBorder="1" applyAlignment="1">
      <alignment vertical="top" wrapText="1"/>
    </xf>
    <xf numFmtId="0" fontId="1" fillId="0" borderId="0" xfId="0" applyFont="1" applyFill="1" applyAlignment="1">
      <alignment horizontal="left" vertical="top"/>
    </xf>
    <xf numFmtId="0" fontId="24" fillId="0" borderId="0" xfId="1" applyFont="1" applyFill="1" applyBorder="1" applyAlignment="1">
      <alignment horizontal="center" vertical="center" wrapText="1"/>
    </xf>
    <xf numFmtId="0" fontId="18" fillId="0" borderId="0" xfId="1" applyFont="1" applyFill="1" applyBorder="1" applyAlignment="1">
      <alignment horizontal="center" wrapText="1"/>
    </xf>
    <xf numFmtId="0" fontId="18" fillId="0" borderId="1" xfId="1" applyFont="1" applyFill="1" applyBorder="1" applyAlignment="1">
      <alignment horizontal="center" vertical="center"/>
    </xf>
    <xf numFmtId="0" fontId="18" fillId="0" borderId="1" xfId="1" applyFont="1" applyFill="1" applyBorder="1" applyAlignment="1">
      <alignment vertical="center"/>
    </xf>
    <xf numFmtId="165" fontId="18" fillId="0" borderId="1" xfId="1" applyNumberFormat="1" applyFont="1" applyFill="1" applyBorder="1" applyAlignment="1">
      <alignment horizontal="center" vertical="center"/>
    </xf>
    <xf numFmtId="0" fontId="24" fillId="0" borderId="1" xfId="0" applyFont="1" applyBorder="1" applyAlignment="1">
      <alignment vertical="center"/>
    </xf>
    <xf numFmtId="0" fontId="47" fillId="0" borderId="1" xfId="1" applyFont="1" applyFill="1" applyBorder="1" applyAlignment="1">
      <alignment vertical="center"/>
    </xf>
    <xf numFmtId="165" fontId="24" fillId="0" borderId="1" xfId="1" applyNumberFormat="1" applyFont="1" applyFill="1" applyBorder="1" applyAlignment="1">
      <alignment horizontal="center" vertical="center"/>
    </xf>
    <xf numFmtId="0" fontId="48" fillId="0" borderId="0" xfId="1" applyFont="1" applyFill="1" applyAlignment="1">
      <alignment horizontal="center" vertical="center"/>
    </xf>
    <xf numFmtId="0" fontId="48" fillId="0" borderId="0" xfId="1" applyFont="1" applyFill="1"/>
    <xf numFmtId="0" fontId="44" fillId="0" borderId="0" xfId="1" applyFont="1" applyFill="1" applyBorder="1" applyAlignment="1">
      <alignment horizontal="center" wrapText="1"/>
    </xf>
    <xf numFmtId="0" fontId="44" fillId="0" borderId="0" xfId="1" applyFont="1" applyFill="1"/>
    <xf numFmtId="0" fontId="44" fillId="0" borderId="1" xfId="1" applyFont="1" applyFill="1" applyBorder="1" applyAlignment="1">
      <alignment horizontal="center" vertical="top" wrapText="1"/>
    </xf>
    <xf numFmtId="0" fontId="44" fillId="0" borderId="1" xfId="1" applyFont="1" applyFill="1" applyBorder="1" applyAlignment="1">
      <alignment horizontal="center" vertical="center" wrapText="1"/>
    </xf>
    <xf numFmtId="0" fontId="44" fillId="0" borderId="1" xfId="0" applyFont="1" applyFill="1" applyBorder="1" applyAlignment="1">
      <alignment horizontal="center" vertical="top" wrapText="1"/>
    </xf>
    <xf numFmtId="0" fontId="44" fillId="0" borderId="1" xfId="0" applyFont="1" applyBorder="1" applyAlignment="1">
      <alignment horizontal="center" vertical="center"/>
    </xf>
    <xf numFmtId="0" fontId="44" fillId="0" borderId="1" xfId="1" applyFont="1" applyFill="1" applyBorder="1" applyAlignment="1">
      <alignment horizontal="center" vertical="top" wrapText="1"/>
    </xf>
    <xf numFmtId="0" fontId="44" fillId="0" borderId="1" xfId="1" applyFont="1" applyFill="1" applyBorder="1" applyAlignment="1">
      <alignment horizontal="center" vertical="center" wrapText="1"/>
    </xf>
    <xf numFmtId="0" fontId="24" fillId="0" borderId="0" xfId="0" applyFont="1" applyAlignment="1">
      <alignment vertical="center"/>
    </xf>
  </cellXfs>
  <cellStyles count="3">
    <cellStyle name="Гиперссылка" xfId="2" builtinId="8"/>
    <cellStyle name="Обычный" xfId="0" builtinId="0"/>
    <cellStyle name="Обычный_method_2_1" xfId="1"/>
  </cellStyles>
  <dxfs count="0"/>
  <tableStyles count="0" defaultTableStyle="TableStyleMedium2" defaultPivotStyle="PivotStyleMedium9"/>
  <colors>
    <mruColors>
      <color rgb="FFFFCCFF"/>
      <color rgb="FF99FFCC"/>
      <color rgb="FF66FF99"/>
      <color rgb="FFCCECFF"/>
      <color rgb="FFCC0099"/>
      <color rgb="FFFF5050"/>
      <color rgb="FFCCFFFF"/>
      <color rgb="FFFF00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3"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5"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6"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11"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12" name="AutoShape 8"/>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14"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15"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0"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1"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2"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3"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3"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5"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6"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1"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2" name="AutoShape 8"/>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4"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5"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0"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1"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2"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3"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consultantplus://offline/ref=E88F0C8B57259A8E16544F9DC27CADC22B5729ED2611768BD70DA245F7B40A830CAE0EEB7020B4B475BE71c8fBK" TargetMode="External"/><Relationship Id="rId2" Type="http://schemas.openxmlformats.org/officeDocument/2006/relationships/hyperlink" Target="consultantplus://offline/ref=E88F0C8B57259A8E16544F9DC27CADC22B5729ED2611768BD70DA245F7B40A830CAE0EEB7020B4B475BE71c8fBK" TargetMode="External"/><Relationship Id="rId1" Type="http://schemas.openxmlformats.org/officeDocument/2006/relationships/hyperlink" Target="consultantplus://offline/ref=E88F0C8B57259A8E16544F9DC27CADC22B5729ED2611768BD70DA245F7B40A830CAE0EEB7020B4B475BE71c8fBK"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48"/>
  <sheetViews>
    <sheetView zoomScaleNormal="100" workbookViewId="0">
      <pane xSplit="2" ySplit="5" topLeftCell="C6" activePane="bottomRight" state="frozen"/>
      <selection activeCell="A87" sqref="A87"/>
      <selection pane="topRight" activeCell="A87" sqref="A87"/>
      <selection pane="bottomLeft" activeCell="A87" sqref="A87"/>
      <selection pane="bottomRight" activeCell="R3" sqref="R3"/>
    </sheetView>
  </sheetViews>
  <sheetFormatPr defaultRowHeight="12" x14ac:dyDescent="0.25"/>
  <cols>
    <col min="1" max="1" width="20.5703125" style="76" customWidth="1"/>
    <col min="2" max="2" width="49.5703125" style="76" customWidth="1"/>
    <col min="3" max="3" width="15.28515625" style="76" hidden="1" customWidth="1"/>
    <col min="4" max="5" width="14" style="76" hidden="1" customWidth="1"/>
    <col min="6" max="6" width="16.28515625" style="76" hidden="1" customWidth="1"/>
    <col min="7" max="7" width="14.140625" style="81" hidden="1" customWidth="1"/>
    <col min="8" max="8" width="13" style="76" hidden="1" customWidth="1"/>
    <col min="9" max="9" width="13.5703125" style="81" customWidth="1"/>
    <col min="10" max="11" width="2.5703125" style="76" hidden="1" customWidth="1"/>
    <col min="12" max="12" width="14" style="76" hidden="1" customWidth="1"/>
    <col min="13" max="13" width="13" style="76" hidden="1" customWidth="1"/>
    <col min="14" max="14" width="14" style="76" customWidth="1"/>
    <col min="15" max="16" width="14" style="76" hidden="1" customWidth="1"/>
    <col min="17" max="17" width="14" style="76" customWidth="1"/>
    <col min="18" max="191" width="9.140625" style="76"/>
    <col min="192" max="192" width="25.42578125" style="76" customWidth="1"/>
    <col min="193" max="193" width="56.28515625" style="76" customWidth="1"/>
    <col min="194" max="194" width="14" style="76" customWidth="1"/>
    <col min="195" max="196" width="14.5703125" style="76" customWidth="1"/>
    <col min="197" max="197" width="14.140625" style="76" customWidth="1"/>
    <col min="198" max="198" width="15.140625" style="76" customWidth="1"/>
    <col min="199" max="199" width="13.85546875" style="76" customWidth="1"/>
    <col min="200" max="201" width="14.7109375" style="76" customWidth="1"/>
    <col min="202" max="202" width="12.85546875" style="76" customWidth="1"/>
    <col min="203" max="203" width="13.5703125" style="76" customWidth="1"/>
    <col min="204" max="204" width="12.7109375" style="76" customWidth="1"/>
    <col min="205" max="205" width="13.42578125" style="76" customWidth="1"/>
    <col min="206" max="206" width="13.140625" style="76" customWidth="1"/>
    <col min="207" max="207" width="14.7109375" style="76" customWidth="1"/>
    <col min="208" max="208" width="14.5703125" style="76" customWidth="1"/>
    <col min="209" max="209" width="13" style="76" customWidth="1"/>
    <col min="210" max="210" width="15" style="76" customWidth="1"/>
    <col min="211" max="212" width="12.140625" style="76" customWidth="1"/>
    <col min="213" max="213" width="12" style="76" customWidth="1"/>
    <col min="214" max="214" width="13.5703125" style="76" customWidth="1"/>
    <col min="215" max="215" width="14" style="76" customWidth="1"/>
    <col min="216" max="216" width="12.28515625" style="76" customWidth="1"/>
    <col min="217" max="217" width="14.140625" style="76" customWidth="1"/>
    <col min="218" max="218" width="13" style="76" customWidth="1"/>
    <col min="219" max="219" width="13.5703125" style="76" customWidth="1"/>
    <col min="220" max="220" width="12.42578125" style="76" customWidth="1"/>
    <col min="221" max="221" width="12.5703125" style="76" customWidth="1"/>
    <col min="222" max="222" width="11.7109375" style="76" customWidth="1"/>
    <col min="223" max="223" width="13.7109375" style="76" customWidth="1"/>
    <col min="224" max="224" width="13.28515625" style="76" customWidth="1"/>
    <col min="225" max="225" width="13.140625" style="76" customWidth="1"/>
    <col min="226" max="226" width="12" style="76" customWidth="1"/>
    <col min="227" max="227" width="12.140625" style="76" customWidth="1"/>
    <col min="228" max="228" width="12.28515625" style="76" customWidth="1"/>
    <col min="229" max="229" width="12.140625" style="76" customWidth="1"/>
    <col min="230" max="230" width="12.5703125" style="76" customWidth="1"/>
    <col min="231" max="447" width="9.140625" style="76"/>
    <col min="448" max="448" width="25.42578125" style="76" customWidth="1"/>
    <col min="449" max="449" width="56.28515625" style="76" customWidth="1"/>
    <col min="450" max="450" width="14" style="76" customWidth="1"/>
    <col min="451" max="452" width="14.5703125" style="76" customWidth="1"/>
    <col min="453" max="453" width="14.140625" style="76" customWidth="1"/>
    <col min="454" max="454" width="15.140625" style="76" customWidth="1"/>
    <col min="455" max="455" width="13.85546875" style="76" customWidth="1"/>
    <col min="456" max="457" width="14.7109375" style="76" customWidth="1"/>
    <col min="458" max="458" width="12.85546875" style="76" customWidth="1"/>
    <col min="459" max="459" width="13.5703125" style="76" customWidth="1"/>
    <col min="460" max="460" width="12.7109375" style="76" customWidth="1"/>
    <col min="461" max="461" width="13.42578125" style="76" customWidth="1"/>
    <col min="462" max="462" width="13.140625" style="76" customWidth="1"/>
    <col min="463" max="463" width="14.7109375" style="76" customWidth="1"/>
    <col min="464" max="464" width="14.5703125" style="76" customWidth="1"/>
    <col min="465" max="465" width="13" style="76" customWidth="1"/>
    <col min="466" max="466" width="15" style="76" customWidth="1"/>
    <col min="467" max="468" width="12.140625" style="76" customWidth="1"/>
    <col min="469" max="469" width="12" style="76" customWidth="1"/>
    <col min="470" max="470" width="13.5703125" style="76" customWidth="1"/>
    <col min="471" max="471" width="14" style="76" customWidth="1"/>
    <col min="472" max="472" width="12.28515625" style="76" customWidth="1"/>
    <col min="473" max="473" width="14.140625" style="76" customWidth="1"/>
    <col min="474" max="474" width="13" style="76" customWidth="1"/>
    <col min="475" max="475" width="13.5703125" style="76" customWidth="1"/>
    <col min="476" max="476" width="12.42578125" style="76" customWidth="1"/>
    <col min="477" max="477" width="12.5703125" style="76" customWidth="1"/>
    <col min="478" max="478" width="11.7109375" style="76" customWidth="1"/>
    <col min="479" max="479" width="13.7109375" style="76" customWidth="1"/>
    <col min="480" max="480" width="13.28515625" style="76" customWidth="1"/>
    <col min="481" max="481" width="13.140625" style="76" customWidth="1"/>
    <col min="482" max="482" width="12" style="76" customWidth="1"/>
    <col min="483" max="483" width="12.140625" style="76" customWidth="1"/>
    <col min="484" max="484" width="12.28515625" style="76" customWidth="1"/>
    <col min="485" max="485" width="12.140625" style="76" customWidth="1"/>
    <col min="486" max="486" width="12.5703125" style="76" customWidth="1"/>
    <col min="487" max="703" width="9.140625" style="76"/>
    <col min="704" max="704" width="25.42578125" style="76" customWidth="1"/>
    <col min="705" max="705" width="56.28515625" style="76" customWidth="1"/>
    <col min="706" max="706" width="14" style="76" customWidth="1"/>
    <col min="707" max="708" width="14.5703125" style="76" customWidth="1"/>
    <col min="709" max="709" width="14.140625" style="76" customWidth="1"/>
    <col min="710" max="710" width="15.140625" style="76" customWidth="1"/>
    <col min="711" max="711" width="13.85546875" style="76" customWidth="1"/>
    <col min="712" max="713" width="14.7109375" style="76" customWidth="1"/>
    <col min="714" max="714" width="12.85546875" style="76" customWidth="1"/>
    <col min="715" max="715" width="13.5703125" style="76" customWidth="1"/>
    <col min="716" max="716" width="12.7109375" style="76" customWidth="1"/>
    <col min="717" max="717" width="13.42578125" style="76" customWidth="1"/>
    <col min="718" max="718" width="13.140625" style="76" customWidth="1"/>
    <col min="719" max="719" width="14.7109375" style="76" customWidth="1"/>
    <col min="720" max="720" width="14.5703125" style="76" customWidth="1"/>
    <col min="721" max="721" width="13" style="76" customWidth="1"/>
    <col min="722" max="722" width="15" style="76" customWidth="1"/>
    <col min="723" max="724" width="12.140625" style="76" customWidth="1"/>
    <col min="725" max="725" width="12" style="76" customWidth="1"/>
    <col min="726" max="726" width="13.5703125" style="76" customWidth="1"/>
    <col min="727" max="727" width="14" style="76" customWidth="1"/>
    <col min="728" max="728" width="12.28515625" style="76" customWidth="1"/>
    <col min="729" max="729" width="14.140625" style="76" customWidth="1"/>
    <col min="730" max="730" width="13" style="76" customWidth="1"/>
    <col min="731" max="731" width="13.5703125" style="76" customWidth="1"/>
    <col min="732" max="732" width="12.42578125" style="76" customWidth="1"/>
    <col min="733" max="733" width="12.5703125" style="76" customWidth="1"/>
    <col min="734" max="734" width="11.7109375" style="76" customWidth="1"/>
    <col min="735" max="735" width="13.7109375" style="76" customWidth="1"/>
    <col min="736" max="736" width="13.28515625" style="76" customWidth="1"/>
    <col min="737" max="737" width="13.140625" style="76" customWidth="1"/>
    <col min="738" max="738" width="12" style="76" customWidth="1"/>
    <col min="739" max="739" width="12.140625" style="76" customWidth="1"/>
    <col min="740" max="740" width="12.28515625" style="76" customWidth="1"/>
    <col min="741" max="741" width="12.140625" style="76" customWidth="1"/>
    <col min="742" max="742" width="12.5703125" style="76" customWidth="1"/>
    <col min="743" max="959" width="9.140625" style="76"/>
    <col min="960" max="960" width="25.42578125" style="76" customWidth="1"/>
    <col min="961" max="961" width="56.28515625" style="76" customWidth="1"/>
    <col min="962" max="962" width="14" style="76" customWidth="1"/>
    <col min="963" max="964" width="14.5703125" style="76" customWidth="1"/>
    <col min="965" max="965" width="14.140625" style="76" customWidth="1"/>
    <col min="966" max="966" width="15.140625" style="76" customWidth="1"/>
    <col min="967" max="967" width="13.85546875" style="76" customWidth="1"/>
    <col min="968" max="969" width="14.7109375" style="76" customWidth="1"/>
    <col min="970" max="970" width="12.85546875" style="76" customWidth="1"/>
    <col min="971" max="971" width="13.5703125" style="76" customWidth="1"/>
    <col min="972" max="972" width="12.7109375" style="76" customWidth="1"/>
    <col min="973" max="973" width="13.42578125" style="76" customWidth="1"/>
    <col min="974" max="974" width="13.140625" style="76" customWidth="1"/>
    <col min="975" max="975" width="14.7109375" style="76" customWidth="1"/>
    <col min="976" max="976" width="14.5703125" style="76" customWidth="1"/>
    <col min="977" max="977" width="13" style="76" customWidth="1"/>
    <col min="978" max="978" width="15" style="76" customWidth="1"/>
    <col min="979" max="980" width="12.140625" style="76" customWidth="1"/>
    <col min="981" max="981" width="12" style="76" customWidth="1"/>
    <col min="982" max="982" width="13.5703125" style="76" customWidth="1"/>
    <col min="983" max="983" width="14" style="76" customWidth="1"/>
    <col min="984" max="984" width="12.28515625" style="76" customWidth="1"/>
    <col min="985" max="985" width="14.140625" style="76" customWidth="1"/>
    <col min="986" max="986" width="13" style="76" customWidth="1"/>
    <col min="987" max="987" width="13.5703125" style="76" customWidth="1"/>
    <col min="988" max="988" width="12.42578125" style="76" customWidth="1"/>
    <col min="989" max="989" width="12.5703125" style="76" customWidth="1"/>
    <col min="990" max="990" width="11.7109375" style="76" customWidth="1"/>
    <col min="991" max="991" width="13.7109375" style="76" customWidth="1"/>
    <col min="992" max="992" width="13.28515625" style="76" customWidth="1"/>
    <col min="993" max="993" width="13.140625" style="76" customWidth="1"/>
    <col min="994" max="994" width="12" style="76" customWidth="1"/>
    <col min="995" max="995" width="12.140625" style="76" customWidth="1"/>
    <col min="996" max="996" width="12.28515625" style="76" customWidth="1"/>
    <col min="997" max="997" width="12.140625" style="76" customWidth="1"/>
    <col min="998" max="998" width="12.5703125" style="76" customWidth="1"/>
    <col min="999" max="1215" width="9.140625" style="76"/>
    <col min="1216" max="1216" width="25.42578125" style="76" customWidth="1"/>
    <col min="1217" max="1217" width="56.28515625" style="76" customWidth="1"/>
    <col min="1218" max="1218" width="14" style="76" customWidth="1"/>
    <col min="1219" max="1220" width="14.5703125" style="76" customWidth="1"/>
    <col min="1221" max="1221" width="14.140625" style="76" customWidth="1"/>
    <col min="1222" max="1222" width="15.140625" style="76" customWidth="1"/>
    <col min="1223" max="1223" width="13.85546875" style="76" customWidth="1"/>
    <col min="1224" max="1225" width="14.7109375" style="76" customWidth="1"/>
    <col min="1226" max="1226" width="12.85546875" style="76" customWidth="1"/>
    <col min="1227" max="1227" width="13.5703125" style="76" customWidth="1"/>
    <col min="1228" max="1228" width="12.7109375" style="76" customWidth="1"/>
    <col min="1229" max="1229" width="13.42578125" style="76" customWidth="1"/>
    <col min="1230" max="1230" width="13.140625" style="76" customWidth="1"/>
    <col min="1231" max="1231" width="14.7109375" style="76" customWidth="1"/>
    <col min="1232" max="1232" width="14.5703125" style="76" customWidth="1"/>
    <col min="1233" max="1233" width="13" style="76" customWidth="1"/>
    <col min="1234" max="1234" width="15" style="76" customWidth="1"/>
    <col min="1235" max="1236" width="12.140625" style="76" customWidth="1"/>
    <col min="1237" max="1237" width="12" style="76" customWidth="1"/>
    <col min="1238" max="1238" width="13.5703125" style="76" customWidth="1"/>
    <col min="1239" max="1239" width="14" style="76" customWidth="1"/>
    <col min="1240" max="1240" width="12.28515625" style="76" customWidth="1"/>
    <col min="1241" max="1241" width="14.140625" style="76" customWidth="1"/>
    <col min="1242" max="1242" width="13" style="76" customWidth="1"/>
    <col min="1243" max="1243" width="13.5703125" style="76" customWidth="1"/>
    <col min="1244" max="1244" width="12.42578125" style="76" customWidth="1"/>
    <col min="1245" max="1245" width="12.5703125" style="76" customWidth="1"/>
    <col min="1246" max="1246" width="11.7109375" style="76" customWidth="1"/>
    <col min="1247" max="1247" width="13.7109375" style="76" customWidth="1"/>
    <col min="1248" max="1248" width="13.28515625" style="76" customWidth="1"/>
    <col min="1249" max="1249" width="13.140625" style="76" customWidth="1"/>
    <col min="1250" max="1250" width="12" style="76" customWidth="1"/>
    <col min="1251" max="1251" width="12.140625" style="76" customWidth="1"/>
    <col min="1252" max="1252" width="12.28515625" style="76" customWidth="1"/>
    <col min="1253" max="1253" width="12.140625" style="76" customWidth="1"/>
    <col min="1254" max="1254" width="12.5703125" style="76" customWidth="1"/>
    <col min="1255" max="1471" width="9.140625" style="76"/>
    <col min="1472" max="1472" width="25.42578125" style="76" customWidth="1"/>
    <col min="1473" max="1473" width="56.28515625" style="76" customWidth="1"/>
    <col min="1474" max="1474" width="14" style="76" customWidth="1"/>
    <col min="1475" max="1476" width="14.5703125" style="76" customWidth="1"/>
    <col min="1477" max="1477" width="14.140625" style="76" customWidth="1"/>
    <col min="1478" max="1478" width="15.140625" style="76" customWidth="1"/>
    <col min="1479" max="1479" width="13.85546875" style="76" customWidth="1"/>
    <col min="1480" max="1481" width="14.7109375" style="76" customWidth="1"/>
    <col min="1482" max="1482" width="12.85546875" style="76" customWidth="1"/>
    <col min="1483" max="1483" width="13.5703125" style="76" customWidth="1"/>
    <col min="1484" max="1484" width="12.7109375" style="76" customWidth="1"/>
    <col min="1485" max="1485" width="13.42578125" style="76" customWidth="1"/>
    <col min="1486" max="1486" width="13.140625" style="76" customWidth="1"/>
    <col min="1487" max="1487" width="14.7109375" style="76" customWidth="1"/>
    <col min="1488" max="1488" width="14.5703125" style="76" customWidth="1"/>
    <col min="1489" max="1489" width="13" style="76" customWidth="1"/>
    <col min="1490" max="1490" width="15" style="76" customWidth="1"/>
    <col min="1491" max="1492" width="12.140625" style="76" customWidth="1"/>
    <col min="1493" max="1493" width="12" style="76" customWidth="1"/>
    <col min="1494" max="1494" width="13.5703125" style="76" customWidth="1"/>
    <col min="1495" max="1495" width="14" style="76" customWidth="1"/>
    <col min="1496" max="1496" width="12.28515625" style="76" customWidth="1"/>
    <col min="1497" max="1497" width="14.140625" style="76" customWidth="1"/>
    <col min="1498" max="1498" width="13" style="76" customWidth="1"/>
    <col min="1499" max="1499" width="13.5703125" style="76" customWidth="1"/>
    <col min="1500" max="1500" width="12.42578125" style="76" customWidth="1"/>
    <col min="1501" max="1501" width="12.5703125" style="76" customWidth="1"/>
    <col min="1502" max="1502" width="11.7109375" style="76" customWidth="1"/>
    <col min="1503" max="1503" width="13.7109375" style="76" customWidth="1"/>
    <col min="1504" max="1504" width="13.28515625" style="76" customWidth="1"/>
    <col min="1505" max="1505" width="13.140625" style="76" customWidth="1"/>
    <col min="1506" max="1506" width="12" style="76" customWidth="1"/>
    <col min="1507" max="1507" width="12.140625" style="76" customWidth="1"/>
    <col min="1508" max="1508" width="12.28515625" style="76" customWidth="1"/>
    <col min="1509" max="1509" width="12.140625" style="76" customWidth="1"/>
    <col min="1510" max="1510" width="12.5703125" style="76" customWidth="1"/>
    <col min="1511" max="1727" width="9.140625" style="76"/>
    <col min="1728" max="1728" width="25.42578125" style="76" customWidth="1"/>
    <col min="1729" max="1729" width="56.28515625" style="76" customWidth="1"/>
    <col min="1730" max="1730" width="14" style="76" customWidth="1"/>
    <col min="1731" max="1732" width="14.5703125" style="76" customWidth="1"/>
    <col min="1733" max="1733" width="14.140625" style="76" customWidth="1"/>
    <col min="1734" max="1734" width="15.140625" style="76" customWidth="1"/>
    <col min="1735" max="1735" width="13.85546875" style="76" customWidth="1"/>
    <col min="1736" max="1737" width="14.7109375" style="76" customWidth="1"/>
    <col min="1738" max="1738" width="12.85546875" style="76" customWidth="1"/>
    <col min="1739" max="1739" width="13.5703125" style="76" customWidth="1"/>
    <col min="1740" max="1740" width="12.7109375" style="76" customWidth="1"/>
    <col min="1741" max="1741" width="13.42578125" style="76" customWidth="1"/>
    <col min="1742" max="1742" width="13.140625" style="76" customWidth="1"/>
    <col min="1743" max="1743" width="14.7109375" style="76" customWidth="1"/>
    <col min="1744" max="1744" width="14.5703125" style="76" customWidth="1"/>
    <col min="1745" max="1745" width="13" style="76" customWidth="1"/>
    <col min="1746" max="1746" width="15" style="76" customWidth="1"/>
    <col min="1747" max="1748" width="12.140625" style="76" customWidth="1"/>
    <col min="1749" max="1749" width="12" style="76" customWidth="1"/>
    <col min="1750" max="1750" width="13.5703125" style="76" customWidth="1"/>
    <col min="1751" max="1751" width="14" style="76" customWidth="1"/>
    <col min="1752" max="1752" width="12.28515625" style="76" customWidth="1"/>
    <col min="1753" max="1753" width="14.140625" style="76" customWidth="1"/>
    <col min="1754" max="1754" width="13" style="76" customWidth="1"/>
    <col min="1755" max="1755" width="13.5703125" style="76" customWidth="1"/>
    <col min="1756" max="1756" width="12.42578125" style="76" customWidth="1"/>
    <col min="1757" max="1757" width="12.5703125" style="76" customWidth="1"/>
    <col min="1758" max="1758" width="11.7109375" style="76" customWidth="1"/>
    <col min="1759" max="1759" width="13.7109375" style="76" customWidth="1"/>
    <col min="1760" max="1760" width="13.28515625" style="76" customWidth="1"/>
    <col min="1761" max="1761" width="13.140625" style="76" customWidth="1"/>
    <col min="1762" max="1762" width="12" style="76" customWidth="1"/>
    <col min="1763" max="1763" width="12.140625" style="76" customWidth="1"/>
    <col min="1764" max="1764" width="12.28515625" style="76" customWidth="1"/>
    <col min="1765" max="1765" width="12.140625" style="76" customWidth="1"/>
    <col min="1766" max="1766" width="12.5703125" style="76" customWidth="1"/>
    <col min="1767" max="1983" width="9.140625" style="76"/>
    <col min="1984" max="1984" width="25.42578125" style="76" customWidth="1"/>
    <col min="1985" max="1985" width="56.28515625" style="76" customWidth="1"/>
    <col min="1986" max="1986" width="14" style="76" customWidth="1"/>
    <col min="1987" max="1988" width="14.5703125" style="76" customWidth="1"/>
    <col min="1989" max="1989" width="14.140625" style="76" customWidth="1"/>
    <col min="1990" max="1990" width="15.140625" style="76" customWidth="1"/>
    <col min="1991" max="1991" width="13.85546875" style="76" customWidth="1"/>
    <col min="1992" max="1993" width="14.7109375" style="76" customWidth="1"/>
    <col min="1994" max="1994" width="12.85546875" style="76" customWidth="1"/>
    <col min="1995" max="1995" width="13.5703125" style="76" customWidth="1"/>
    <col min="1996" max="1996" width="12.7109375" style="76" customWidth="1"/>
    <col min="1997" max="1997" width="13.42578125" style="76" customWidth="1"/>
    <col min="1998" max="1998" width="13.140625" style="76" customWidth="1"/>
    <col min="1999" max="1999" width="14.7109375" style="76" customWidth="1"/>
    <col min="2000" max="2000" width="14.5703125" style="76" customWidth="1"/>
    <col min="2001" max="2001" width="13" style="76" customWidth="1"/>
    <col min="2002" max="2002" width="15" style="76" customWidth="1"/>
    <col min="2003" max="2004" width="12.140625" style="76" customWidth="1"/>
    <col min="2005" max="2005" width="12" style="76" customWidth="1"/>
    <col min="2006" max="2006" width="13.5703125" style="76" customWidth="1"/>
    <col min="2007" max="2007" width="14" style="76" customWidth="1"/>
    <col min="2008" max="2008" width="12.28515625" style="76" customWidth="1"/>
    <col min="2009" max="2009" width="14.140625" style="76" customWidth="1"/>
    <col min="2010" max="2010" width="13" style="76" customWidth="1"/>
    <col min="2011" max="2011" width="13.5703125" style="76" customWidth="1"/>
    <col min="2012" max="2012" width="12.42578125" style="76" customWidth="1"/>
    <col min="2013" max="2013" width="12.5703125" style="76" customWidth="1"/>
    <col min="2014" max="2014" width="11.7109375" style="76" customWidth="1"/>
    <col min="2015" max="2015" width="13.7109375" style="76" customWidth="1"/>
    <col min="2016" max="2016" width="13.28515625" style="76" customWidth="1"/>
    <col min="2017" max="2017" width="13.140625" style="76" customWidth="1"/>
    <col min="2018" max="2018" width="12" style="76" customWidth="1"/>
    <col min="2019" max="2019" width="12.140625" style="76" customWidth="1"/>
    <col min="2020" max="2020" width="12.28515625" style="76" customWidth="1"/>
    <col min="2021" max="2021" width="12.140625" style="76" customWidth="1"/>
    <col min="2022" max="2022" width="12.5703125" style="76" customWidth="1"/>
    <col min="2023" max="2239" width="9.140625" style="76"/>
    <col min="2240" max="2240" width="25.42578125" style="76" customWidth="1"/>
    <col min="2241" max="2241" width="56.28515625" style="76" customWidth="1"/>
    <col min="2242" max="2242" width="14" style="76" customWidth="1"/>
    <col min="2243" max="2244" width="14.5703125" style="76" customWidth="1"/>
    <col min="2245" max="2245" width="14.140625" style="76" customWidth="1"/>
    <col min="2246" max="2246" width="15.140625" style="76" customWidth="1"/>
    <col min="2247" max="2247" width="13.85546875" style="76" customWidth="1"/>
    <col min="2248" max="2249" width="14.7109375" style="76" customWidth="1"/>
    <col min="2250" max="2250" width="12.85546875" style="76" customWidth="1"/>
    <col min="2251" max="2251" width="13.5703125" style="76" customWidth="1"/>
    <col min="2252" max="2252" width="12.7109375" style="76" customWidth="1"/>
    <col min="2253" max="2253" width="13.42578125" style="76" customWidth="1"/>
    <col min="2254" max="2254" width="13.140625" style="76" customWidth="1"/>
    <col min="2255" max="2255" width="14.7109375" style="76" customWidth="1"/>
    <col min="2256" max="2256" width="14.5703125" style="76" customWidth="1"/>
    <col min="2257" max="2257" width="13" style="76" customWidth="1"/>
    <col min="2258" max="2258" width="15" style="76" customWidth="1"/>
    <col min="2259" max="2260" width="12.140625" style="76" customWidth="1"/>
    <col min="2261" max="2261" width="12" style="76" customWidth="1"/>
    <col min="2262" max="2262" width="13.5703125" style="76" customWidth="1"/>
    <col min="2263" max="2263" width="14" style="76" customWidth="1"/>
    <col min="2264" max="2264" width="12.28515625" style="76" customWidth="1"/>
    <col min="2265" max="2265" width="14.140625" style="76" customWidth="1"/>
    <col min="2266" max="2266" width="13" style="76" customWidth="1"/>
    <col min="2267" max="2267" width="13.5703125" style="76" customWidth="1"/>
    <col min="2268" max="2268" width="12.42578125" style="76" customWidth="1"/>
    <col min="2269" max="2269" width="12.5703125" style="76" customWidth="1"/>
    <col min="2270" max="2270" width="11.7109375" style="76" customWidth="1"/>
    <col min="2271" max="2271" width="13.7109375" style="76" customWidth="1"/>
    <col min="2272" max="2272" width="13.28515625" style="76" customWidth="1"/>
    <col min="2273" max="2273" width="13.140625" style="76" customWidth="1"/>
    <col min="2274" max="2274" width="12" style="76" customWidth="1"/>
    <col min="2275" max="2275" width="12.140625" style="76" customWidth="1"/>
    <col min="2276" max="2276" width="12.28515625" style="76" customWidth="1"/>
    <col min="2277" max="2277" width="12.140625" style="76" customWidth="1"/>
    <col min="2278" max="2278" width="12.5703125" style="76" customWidth="1"/>
    <col min="2279" max="2495" width="9.140625" style="76"/>
    <col min="2496" max="2496" width="25.42578125" style="76" customWidth="1"/>
    <col min="2497" max="2497" width="56.28515625" style="76" customWidth="1"/>
    <col min="2498" max="2498" width="14" style="76" customWidth="1"/>
    <col min="2499" max="2500" width="14.5703125" style="76" customWidth="1"/>
    <col min="2501" max="2501" width="14.140625" style="76" customWidth="1"/>
    <col min="2502" max="2502" width="15.140625" style="76" customWidth="1"/>
    <col min="2503" max="2503" width="13.85546875" style="76" customWidth="1"/>
    <col min="2504" max="2505" width="14.7109375" style="76" customWidth="1"/>
    <col min="2506" max="2506" width="12.85546875" style="76" customWidth="1"/>
    <col min="2507" max="2507" width="13.5703125" style="76" customWidth="1"/>
    <col min="2508" max="2508" width="12.7109375" style="76" customWidth="1"/>
    <col min="2509" max="2509" width="13.42578125" style="76" customWidth="1"/>
    <col min="2510" max="2510" width="13.140625" style="76" customWidth="1"/>
    <col min="2511" max="2511" width="14.7109375" style="76" customWidth="1"/>
    <col min="2512" max="2512" width="14.5703125" style="76" customWidth="1"/>
    <col min="2513" max="2513" width="13" style="76" customWidth="1"/>
    <col min="2514" max="2514" width="15" style="76" customWidth="1"/>
    <col min="2515" max="2516" width="12.140625" style="76" customWidth="1"/>
    <col min="2517" max="2517" width="12" style="76" customWidth="1"/>
    <col min="2518" max="2518" width="13.5703125" style="76" customWidth="1"/>
    <col min="2519" max="2519" width="14" style="76" customWidth="1"/>
    <col min="2520" max="2520" width="12.28515625" style="76" customWidth="1"/>
    <col min="2521" max="2521" width="14.140625" style="76" customWidth="1"/>
    <col min="2522" max="2522" width="13" style="76" customWidth="1"/>
    <col min="2523" max="2523" width="13.5703125" style="76" customWidth="1"/>
    <col min="2524" max="2524" width="12.42578125" style="76" customWidth="1"/>
    <col min="2525" max="2525" width="12.5703125" style="76" customWidth="1"/>
    <col min="2526" max="2526" width="11.7109375" style="76" customWidth="1"/>
    <col min="2527" max="2527" width="13.7109375" style="76" customWidth="1"/>
    <col min="2528" max="2528" width="13.28515625" style="76" customWidth="1"/>
    <col min="2529" max="2529" width="13.140625" style="76" customWidth="1"/>
    <col min="2530" max="2530" width="12" style="76" customWidth="1"/>
    <col min="2531" max="2531" width="12.140625" style="76" customWidth="1"/>
    <col min="2532" max="2532" width="12.28515625" style="76" customWidth="1"/>
    <col min="2533" max="2533" width="12.140625" style="76" customWidth="1"/>
    <col min="2534" max="2534" width="12.5703125" style="76" customWidth="1"/>
    <col min="2535" max="2751" width="9.140625" style="76"/>
    <col min="2752" max="2752" width="25.42578125" style="76" customWidth="1"/>
    <col min="2753" max="2753" width="56.28515625" style="76" customWidth="1"/>
    <col min="2754" max="2754" width="14" style="76" customWidth="1"/>
    <col min="2755" max="2756" width="14.5703125" style="76" customWidth="1"/>
    <col min="2757" max="2757" width="14.140625" style="76" customWidth="1"/>
    <col min="2758" max="2758" width="15.140625" style="76" customWidth="1"/>
    <col min="2759" max="2759" width="13.85546875" style="76" customWidth="1"/>
    <col min="2760" max="2761" width="14.7109375" style="76" customWidth="1"/>
    <col min="2762" max="2762" width="12.85546875" style="76" customWidth="1"/>
    <col min="2763" max="2763" width="13.5703125" style="76" customWidth="1"/>
    <col min="2764" max="2764" width="12.7109375" style="76" customWidth="1"/>
    <col min="2765" max="2765" width="13.42578125" style="76" customWidth="1"/>
    <col min="2766" max="2766" width="13.140625" style="76" customWidth="1"/>
    <col min="2767" max="2767" width="14.7109375" style="76" customWidth="1"/>
    <col min="2768" max="2768" width="14.5703125" style="76" customWidth="1"/>
    <col min="2769" max="2769" width="13" style="76" customWidth="1"/>
    <col min="2770" max="2770" width="15" style="76" customWidth="1"/>
    <col min="2771" max="2772" width="12.140625" style="76" customWidth="1"/>
    <col min="2773" max="2773" width="12" style="76" customWidth="1"/>
    <col min="2774" max="2774" width="13.5703125" style="76" customWidth="1"/>
    <col min="2775" max="2775" width="14" style="76" customWidth="1"/>
    <col min="2776" max="2776" width="12.28515625" style="76" customWidth="1"/>
    <col min="2777" max="2777" width="14.140625" style="76" customWidth="1"/>
    <col min="2778" max="2778" width="13" style="76" customWidth="1"/>
    <col min="2779" max="2779" width="13.5703125" style="76" customWidth="1"/>
    <col min="2780" max="2780" width="12.42578125" style="76" customWidth="1"/>
    <col min="2781" max="2781" width="12.5703125" style="76" customWidth="1"/>
    <col min="2782" max="2782" width="11.7109375" style="76" customWidth="1"/>
    <col min="2783" max="2783" width="13.7109375" style="76" customWidth="1"/>
    <col min="2784" max="2784" width="13.28515625" style="76" customWidth="1"/>
    <col min="2785" max="2785" width="13.140625" style="76" customWidth="1"/>
    <col min="2786" max="2786" width="12" style="76" customWidth="1"/>
    <col min="2787" max="2787" width="12.140625" style="76" customWidth="1"/>
    <col min="2788" max="2788" width="12.28515625" style="76" customWidth="1"/>
    <col min="2789" max="2789" width="12.140625" style="76" customWidth="1"/>
    <col min="2790" max="2790" width="12.5703125" style="76" customWidth="1"/>
    <col min="2791" max="3007" width="9.140625" style="76"/>
    <col min="3008" max="3008" width="25.42578125" style="76" customWidth="1"/>
    <col min="3009" max="3009" width="56.28515625" style="76" customWidth="1"/>
    <col min="3010" max="3010" width="14" style="76" customWidth="1"/>
    <col min="3011" max="3012" width="14.5703125" style="76" customWidth="1"/>
    <col min="3013" max="3013" width="14.140625" style="76" customWidth="1"/>
    <col min="3014" max="3014" width="15.140625" style="76" customWidth="1"/>
    <col min="3015" max="3015" width="13.85546875" style="76" customWidth="1"/>
    <col min="3016" max="3017" width="14.7109375" style="76" customWidth="1"/>
    <col min="3018" max="3018" width="12.85546875" style="76" customWidth="1"/>
    <col min="3019" max="3019" width="13.5703125" style="76" customWidth="1"/>
    <col min="3020" max="3020" width="12.7109375" style="76" customWidth="1"/>
    <col min="3021" max="3021" width="13.42578125" style="76" customWidth="1"/>
    <col min="3022" max="3022" width="13.140625" style="76" customWidth="1"/>
    <col min="3023" max="3023" width="14.7109375" style="76" customWidth="1"/>
    <col min="3024" max="3024" width="14.5703125" style="76" customWidth="1"/>
    <col min="3025" max="3025" width="13" style="76" customWidth="1"/>
    <col min="3026" max="3026" width="15" style="76" customWidth="1"/>
    <col min="3027" max="3028" width="12.140625" style="76" customWidth="1"/>
    <col min="3029" max="3029" width="12" style="76" customWidth="1"/>
    <col min="3030" max="3030" width="13.5703125" style="76" customWidth="1"/>
    <col min="3031" max="3031" width="14" style="76" customWidth="1"/>
    <col min="3032" max="3032" width="12.28515625" style="76" customWidth="1"/>
    <col min="3033" max="3033" width="14.140625" style="76" customWidth="1"/>
    <col min="3034" max="3034" width="13" style="76" customWidth="1"/>
    <col min="3035" max="3035" width="13.5703125" style="76" customWidth="1"/>
    <col min="3036" max="3036" width="12.42578125" style="76" customWidth="1"/>
    <col min="3037" max="3037" width="12.5703125" style="76" customWidth="1"/>
    <col min="3038" max="3038" width="11.7109375" style="76" customWidth="1"/>
    <col min="3039" max="3039" width="13.7109375" style="76" customWidth="1"/>
    <col min="3040" max="3040" width="13.28515625" style="76" customWidth="1"/>
    <col min="3041" max="3041" width="13.140625" style="76" customWidth="1"/>
    <col min="3042" max="3042" width="12" style="76" customWidth="1"/>
    <col min="3043" max="3043" width="12.140625" style="76" customWidth="1"/>
    <col min="3044" max="3044" width="12.28515625" style="76" customWidth="1"/>
    <col min="3045" max="3045" width="12.140625" style="76" customWidth="1"/>
    <col min="3046" max="3046" width="12.5703125" style="76" customWidth="1"/>
    <col min="3047" max="3263" width="9.140625" style="76"/>
    <col min="3264" max="3264" width="25.42578125" style="76" customWidth="1"/>
    <col min="3265" max="3265" width="56.28515625" style="76" customWidth="1"/>
    <col min="3266" max="3266" width="14" style="76" customWidth="1"/>
    <col min="3267" max="3268" width="14.5703125" style="76" customWidth="1"/>
    <col min="3269" max="3269" width="14.140625" style="76" customWidth="1"/>
    <col min="3270" max="3270" width="15.140625" style="76" customWidth="1"/>
    <col min="3271" max="3271" width="13.85546875" style="76" customWidth="1"/>
    <col min="3272" max="3273" width="14.7109375" style="76" customWidth="1"/>
    <col min="3274" max="3274" width="12.85546875" style="76" customWidth="1"/>
    <col min="3275" max="3275" width="13.5703125" style="76" customWidth="1"/>
    <col min="3276" max="3276" width="12.7109375" style="76" customWidth="1"/>
    <col min="3277" max="3277" width="13.42578125" style="76" customWidth="1"/>
    <col min="3278" max="3278" width="13.140625" style="76" customWidth="1"/>
    <col min="3279" max="3279" width="14.7109375" style="76" customWidth="1"/>
    <col min="3280" max="3280" width="14.5703125" style="76" customWidth="1"/>
    <col min="3281" max="3281" width="13" style="76" customWidth="1"/>
    <col min="3282" max="3282" width="15" style="76" customWidth="1"/>
    <col min="3283" max="3284" width="12.140625" style="76" customWidth="1"/>
    <col min="3285" max="3285" width="12" style="76" customWidth="1"/>
    <col min="3286" max="3286" width="13.5703125" style="76" customWidth="1"/>
    <col min="3287" max="3287" width="14" style="76" customWidth="1"/>
    <col min="3288" max="3288" width="12.28515625" style="76" customWidth="1"/>
    <col min="3289" max="3289" width="14.140625" style="76" customWidth="1"/>
    <col min="3290" max="3290" width="13" style="76" customWidth="1"/>
    <col min="3291" max="3291" width="13.5703125" style="76" customWidth="1"/>
    <col min="3292" max="3292" width="12.42578125" style="76" customWidth="1"/>
    <col min="3293" max="3293" width="12.5703125" style="76" customWidth="1"/>
    <col min="3294" max="3294" width="11.7109375" style="76" customWidth="1"/>
    <col min="3295" max="3295" width="13.7109375" style="76" customWidth="1"/>
    <col min="3296" max="3296" width="13.28515625" style="76" customWidth="1"/>
    <col min="3297" max="3297" width="13.140625" style="76" customWidth="1"/>
    <col min="3298" max="3298" width="12" style="76" customWidth="1"/>
    <col min="3299" max="3299" width="12.140625" style="76" customWidth="1"/>
    <col min="3300" max="3300" width="12.28515625" style="76" customWidth="1"/>
    <col min="3301" max="3301" width="12.140625" style="76" customWidth="1"/>
    <col min="3302" max="3302" width="12.5703125" style="76" customWidth="1"/>
    <col min="3303" max="3519" width="9.140625" style="76"/>
    <col min="3520" max="3520" width="25.42578125" style="76" customWidth="1"/>
    <col min="3521" max="3521" width="56.28515625" style="76" customWidth="1"/>
    <col min="3522" max="3522" width="14" style="76" customWidth="1"/>
    <col min="3523" max="3524" width="14.5703125" style="76" customWidth="1"/>
    <col min="3525" max="3525" width="14.140625" style="76" customWidth="1"/>
    <col min="3526" max="3526" width="15.140625" style="76" customWidth="1"/>
    <col min="3527" max="3527" width="13.85546875" style="76" customWidth="1"/>
    <col min="3528" max="3529" width="14.7109375" style="76" customWidth="1"/>
    <col min="3530" max="3530" width="12.85546875" style="76" customWidth="1"/>
    <col min="3531" max="3531" width="13.5703125" style="76" customWidth="1"/>
    <col min="3532" max="3532" width="12.7109375" style="76" customWidth="1"/>
    <col min="3533" max="3533" width="13.42578125" style="76" customWidth="1"/>
    <col min="3534" max="3534" width="13.140625" style="76" customWidth="1"/>
    <col min="3535" max="3535" width="14.7109375" style="76" customWidth="1"/>
    <col min="3536" max="3536" width="14.5703125" style="76" customWidth="1"/>
    <col min="3537" max="3537" width="13" style="76" customWidth="1"/>
    <col min="3538" max="3538" width="15" style="76" customWidth="1"/>
    <col min="3539" max="3540" width="12.140625" style="76" customWidth="1"/>
    <col min="3541" max="3541" width="12" style="76" customWidth="1"/>
    <col min="3542" max="3542" width="13.5703125" style="76" customWidth="1"/>
    <col min="3543" max="3543" width="14" style="76" customWidth="1"/>
    <col min="3544" max="3544" width="12.28515625" style="76" customWidth="1"/>
    <col min="3545" max="3545" width="14.140625" style="76" customWidth="1"/>
    <col min="3546" max="3546" width="13" style="76" customWidth="1"/>
    <col min="3547" max="3547" width="13.5703125" style="76" customWidth="1"/>
    <col min="3548" max="3548" width="12.42578125" style="76" customWidth="1"/>
    <col min="3549" max="3549" width="12.5703125" style="76" customWidth="1"/>
    <col min="3550" max="3550" width="11.7109375" style="76" customWidth="1"/>
    <col min="3551" max="3551" width="13.7109375" style="76" customWidth="1"/>
    <col min="3552" max="3552" width="13.28515625" style="76" customWidth="1"/>
    <col min="3553" max="3553" width="13.140625" style="76" customWidth="1"/>
    <col min="3554" max="3554" width="12" style="76" customWidth="1"/>
    <col min="3555" max="3555" width="12.140625" style="76" customWidth="1"/>
    <col min="3556" max="3556" width="12.28515625" style="76" customWidth="1"/>
    <col min="3557" max="3557" width="12.140625" style="76" customWidth="1"/>
    <col min="3558" max="3558" width="12.5703125" style="76" customWidth="1"/>
    <col min="3559" max="3775" width="9.140625" style="76"/>
    <col min="3776" max="3776" width="25.42578125" style="76" customWidth="1"/>
    <col min="3777" max="3777" width="56.28515625" style="76" customWidth="1"/>
    <col min="3778" max="3778" width="14" style="76" customWidth="1"/>
    <col min="3779" max="3780" width="14.5703125" style="76" customWidth="1"/>
    <col min="3781" max="3781" width="14.140625" style="76" customWidth="1"/>
    <col min="3782" max="3782" width="15.140625" style="76" customWidth="1"/>
    <col min="3783" max="3783" width="13.85546875" style="76" customWidth="1"/>
    <col min="3784" max="3785" width="14.7109375" style="76" customWidth="1"/>
    <col min="3786" max="3786" width="12.85546875" style="76" customWidth="1"/>
    <col min="3787" max="3787" width="13.5703125" style="76" customWidth="1"/>
    <col min="3788" max="3788" width="12.7109375" style="76" customWidth="1"/>
    <col min="3789" max="3789" width="13.42578125" style="76" customWidth="1"/>
    <col min="3790" max="3790" width="13.140625" style="76" customWidth="1"/>
    <col min="3791" max="3791" width="14.7109375" style="76" customWidth="1"/>
    <col min="3792" max="3792" width="14.5703125" style="76" customWidth="1"/>
    <col min="3793" max="3793" width="13" style="76" customWidth="1"/>
    <col min="3794" max="3794" width="15" style="76" customWidth="1"/>
    <col min="3795" max="3796" width="12.140625" style="76" customWidth="1"/>
    <col min="3797" max="3797" width="12" style="76" customWidth="1"/>
    <col min="3798" max="3798" width="13.5703125" style="76" customWidth="1"/>
    <col min="3799" max="3799" width="14" style="76" customWidth="1"/>
    <col min="3800" max="3800" width="12.28515625" style="76" customWidth="1"/>
    <col min="3801" max="3801" width="14.140625" style="76" customWidth="1"/>
    <col min="3802" max="3802" width="13" style="76" customWidth="1"/>
    <col min="3803" max="3803" width="13.5703125" style="76" customWidth="1"/>
    <col min="3804" max="3804" width="12.42578125" style="76" customWidth="1"/>
    <col min="3805" max="3805" width="12.5703125" style="76" customWidth="1"/>
    <col min="3806" max="3806" width="11.7109375" style="76" customWidth="1"/>
    <col min="3807" max="3807" width="13.7109375" style="76" customWidth="1"/>
    <col min="3808" max="3808" width="13.28515625" style="76" customWidth="1"/>
    <col min="3809" max="3809" width="13.140625" style="76" customWidth="1"/>
    <col min="3810" max="3810" width="12" style="76" customWidth="1"/>
    <col min="3811" max="3811" width="12.140625" style="76" customWidth="1"/>
    <col min="3812" max="3812" width="12.28515625" style="76" customWidth="1"/>
    <col min="3813" max="3813" width="12.140625" style="76" customWidth="1"/>
    <col min="3814" max="3814" width="12.5703125" style="76" customWidth="1"/>
    <col min="3815" max="4031" width="9.140625" style="76"/>
    <col min="4032" max="4032" width="25.42578125" style="76" customWidth="1"/>
    <col min="4033" max="4033" width="56.28515625" style="76" customWidth="1"/>
    <col min="4034" max="4034" width="14" style="76" customWidth="1"/>
    <col min="4035" max="4036" width="14.5703125" style="76" customWidth="1"/>
    <col min="4037" max="4037" width="14.140625" style="76" customWidth="1"/>
    <col min="4038" max="4038" width="15.140625" style="76" customWidth="1"/>
    <col min="4039" max="4039" width="13.85546875" style="76" customWidth="1"/>
    <col min="4040" max="4041" width="14.7109375" style="76" customWidth="1"/>
    <col min="4042" max="4042" width="12.85546875" style="76" customWidth="1"/>
    <col min="4043" max="4043" width="13.5703125" style="76" customWidth="1"/>
    <col min="4044" max="4044" width="12.7109375" style="76" customWidth="1"/>
    <col min="4045" max="4045" width="13.42578125" style="76" customWidth="1"/>
    <col min="4046" max="4046" width="13.140625" style="76" customWidth="1"/>
    <col min="4047" max="4047" width="14.7109375" style="76" customWidth="1"/>
    <col min="4048" max="4048" width="14.5703125" style="76" customWidth="1"/>
    <col min="4049" max="4049" width="13" style="76" customWidth="1"/>
    <col min="4050" max="4050" width="15" style="76" customWidth="1"/>
    <col min="4051" max="4052" width="12.140625" style="76" customWidth="1"/>
    <col min="4053" max="4053" width="12" style="76" customWidth="1"/>
    <col min="4054" max="4054" width="13.5703125" style="76" customWidth="1"/>
    <col min="4055" max="4055" width="14" style="76" customWidth="1"/>
    <col min="4056" max="4056" width="12.28515625" style="76" customWidth="1"/>
    <col min="4057" max="4057" width="14.140625" style="76" customWidth="1"/>
    <col min="4058" max="4058" width="13" style="76" customWidth="1"/>
    <col min="4059" max="4059" width="13.5703125" style="76" customWidth="1"/>
    <col min="4060" max="4060" width="12.42578125" style="76" customWidth="1"/>
    <col min="4061" max="4061" width="12.5703125" style="76" customWidth="1"/>
    <col min="4062" max="4062" width="11.7109375" style="76" customWidth="1"/>
    <col min="4063" max="4063" width="13.7109375" style="76" customWidth="1"/>
    <col min="4064" max="4064" width="13.28515625" style="76" customWidth="1"/>
    <col min="4065" max="4065" width="13.140625" style="76" customWidth="1"/>
    <col min="4066" max="4066" width="12" style="76" customWidth="1"/>
    <col min="4067" max="4067" width="12.140625" style="76" customWidth="1"/>
    <col min="4068" max="4068" width="12.28515625" style="76" customWidth="1"/>
    <col min="4069" max="4069" width="12.140625" style="76" customWidth="1"/>
    <col min="4070" max="4070" width="12.5703125" style="76" customWidth="1"/>
    <col min="4071" max="4287" width="9.140625" style="76"/>
    <col min="4288" max="4288" width="25.42578125" style="76" customWidth="1"/>
    <col min="4289" max="4289" width="56.28515625" style="76" customWidth="1"/>
    <col min="4290" max="4290" width="14" style="76" customWidth="1"/>
    <col min="4291" max="4292" width="14.5703125" style="76" customWidth="1"/>
    <col min="4293" max="4293" width="14.140625" style="76" customWidth="1"/>
    <col min="4294" max="4294" width="15.140625" style="76" customWidth="1"/>
    <col min="4295" max="4295" width="13.85546875" style="76" customWidth="1"/>
    <col min="4296" max="4297" width="14.7109375" style="76" customWidth="1"/>
    <col min="4298" max="4298" width="12.85546875" style="76" customWidth="1"/>
    <col min="4299" max="4299" width="13.5703125" style="76" customWidth="1"/>
    <col min="4300" max="4300" width="12.7109375" style="76" customWidth="1"/>
    <col min="4301" max="4301" width="13.42578125" style="76" customWidth="1"/>
    <col min="4302" max="4302" width="13.140625" style="76" customWidth="1"/>
    <col min="4303" max="4303" width="14.7109375" style="76" customWidth="1"/>
    <col min="4304" max="4304" width="14.5703125" style="76" customWidth="1"/>
    <col min="4305" max="4305" width="13" style="76" customWidth="1"/>
    <col min="4306" max="4306" width="15" style="76" customWidth="1"/>
    <col min="4307" max="4308" width="12.140625" style="76" customWidth="1"/>
    <col min="4309" max="4309" width="12" style="76" customWidth="1"/>
    <col min="4310" max="4310" width="13.5703125" style="76" customWidth="1"/>
    <col min="4311" max="4311" width="14" style="76" customWidth="1"/>
    <col min="4312" max="4312" width="12.28515625" style="76" customWidth="1"/>
    <col min="4313" max="4313" width="14.140625" style="76" customWidth="1"/>
    <col min="4314" max="4314" width="13" style="76" customWidth="1"/>
    <col min="4315" max="4315" width="13.5703125" style="76" customWidth="1"/>
    <col min="4316" max="4316" width="12.42578125" style="76" customWidth="1"/>
    <col min="4317" max="4317" width="12.5703125" style="76" customWidth="1"/>
    <col min="4318" max="4318" width="11.7109375" style="76" customWidth="1"/>
    <col min="4319" max="4319" width="13.7109375" style="76" customWidth="1"/>
    <col min="4320" max="4320" width="13.28515625" style="76" customWidth="1"/>
    <col min="4321" max="4321" width="13.140625" style="76" customWidth="1"/>
    <col min="4322" max="4322" width="12" style="76" customWidth="1"/>
    <col min="4323" max="4323" width="12.140625" style="76" customWidth="1"/>
    <col min="4324" max="4324" width="12.28515625" style="76" customWidth="1"/>
    <col min="4325" max="4325" width="12.140625" style="76" customWidth="1"/>
    <col min="4326" max="4326" width="12.5703125" style="76" customWidth="1"/>
    <col min="4327" max="4543" width="9.140625" style="76"/>
    <col min="4544" max="4544" width="25.42578125" style="76" customWidth="1"/>
    <col min="4545" max="4545" width="56.28515625" style="76" customWidth="1"/>
    <col min="4546" max="4546" width="14" style="76" customWidth="1"/>
    <col min="4547" max="4548" width="14.5703125" style="76" customWidth="1"/>
    <col min="4549" max="4549" width="14.140625" style="76" customWidth="1"/>
    <col min="4550" max="4550" width="15.140625" style="76" customWidth="1"/>
    <col min="4551" max="4551" width="13.85546875" style="76" customWidth="1"/>
    <col min="4552" max="4553" width="14.7109375" style="76" customWidth="1"/>
    <col min="4554" max="4554" width="12.85546875" style="76" customWidth="1"/>
    <col min="4555" max="4555" width="13.5703125" style="76" customWidth="1"/>
    <col min="4556" max="4556" width="12.7109375" style="76" customWidth="1"/>
    <col min="4557" max="4557" width="13.42578125" style="76" customWidth="1"/>
    <col min="4558" max="4558" width="13.140625" style="76" customWidth="1"/>
    <col min="4559" max="4559" width="14.7109375" style="76" customWidth="1"/>
    <col min="4560" max="4560" width="14.5703125" style="76" customWidth="1"/>
    <col min="4561" max="4561" width="13" style="76" customWidth="1"/>
    <col min="4562" max="4562" width="15" style="76" customWidth="1"/>
    <col min="4563" max="4564" width="12.140625" style="76" customWidth="1"/>
    <col min="4565" max="4565" width="12" style="76" customWidth="1"/>
    <col min="4566" max="4566" width="13.5703125" style="76" customWidth="1"/>
    <col min="4567" max="4567" width="14" style="76" customWidth="1"/>
    <col min="4568" max="4568" width="12.28515625" style="76" customWidth="1"/>
    <col min="4569" max="4569" width="14.140625" style="76" customWidth="1"/>
    <col min="4570" max="4570" width="13" style="76" customWidth="1"/>
    <col min="4571" max="4571" width="13.5703125" style="76" customWidth="1"/>
    <col min="4572" max="4572" width="12.42578125" style="76" customWidth="1"/>
    <col min="4573" max="4573" width="12.5703125" style="76" customWidth="1"/>
    <col min="4574" max="4574" width="11.7109375" style="76" customWidth="1"/>
    <col min="4575" max="4575" width="13.7109375" style="76" customWidth="1"/>
    <col min="4576" max="4576" width="13.28515625" style="76" customWidth="1"/>
    <col min="4577" max="4577" width="13.140625" style="76" customWidth="1"/>
    <col min="4578" max="4578" width="12" style="76" customWidth="1"/>
    <col min="4579" max="4579" width="12.140625" style="76" customWidth="1"/>
    <col min="4580" max="4580" width="12.28515625" style="76" customWidth="1"/>
    <col min="4581" max="4581" width="12.140625" style="76" customWidth="1"/>
    <col min="4582" max="4582" width="12.5703125" style="76" customWidth="1"/>
    <col min="4583" max="4799" width="9.140625" style="76"/>
    <col min="4800" max="4800" width="25.42578125" style="76" customWidth="1"/>
    <col min="4801" max="4801" width="56.28515625" style="76" customWidth="1"/>
    <col min="4802" max="4802" width="14" style="76" customWidth="1"/>
    <col min="4803" max="4804" width="14.5703125" style="76" customWidth="1"/>
    <col min="4805" max="4805" width="14.140625" style="76" customWidth="1"/>
    <col min="4806" max="4806" width="15.140625" style="76" customWidth="1"/>
    <col min="4807" max="4807" width="13.85546875" style="76" customWidth="1"/>
    <col min="4808" max="4809" width="14.7109375" style="76" customWidth="1"/>
    <col min="4810" max="4810" width="12.85546875" style="76" customWidth="1"/>
    <col min="4811" max="4811" width="13.5703125" style="76" customWidth="1"/>
    <col min="4812" max="4812" width="12.7109375" style="76" customWidth="1"/>
    <col min="4813" max="4813" width="13.42578125" style="76" customWidth="1"/>
    <col min="4814" max="4814" width="13.140625" style="76" customWidth="1"/>
    <col min="4815" max="4815" width="14.7109375" style="76" customWidth="1"/>
    <col min="4816" max="4816" width="14.5703125" style="76" customWidth="1"/>
    <col min="4817" max="4817" width="13" style="76" customWidth="1"/>
    <col min="4818" max="4818" width="15" style="76" customWidth="1"/>
    <col min="4819" max="4820" width="12.140625" style="76" customWidth="1"/>
    <col min="4821" max="4821" width="12" style="76" customWidth="1"/>
    <col min="4822" max="4822" width="13.5703125" style="76" customWidth="1"/>
    <col min="4823" max="4823" width="14" style="76" customWidth="1"/>
    <col min="4824" max="4824" width="12.28515625" style="76" customWidth="1"/>
    <col min="4825" max="4825" width="14.140625" style="76" customWidth="1"/>
    <col min="4826" max="4826" width="13" style="76" customWidth="1"/>
    <col min="4827" max="4827" width="13.5703125" style="76" customWidth="1"/>
    <col min="4828" max="4828" width="12.42578125" style="76" customWidth="1"/>
    <col min="4829" max="4829" width="12.5703125" style="76" customWidth="1"/>
    <col min="4830" max="4830" width="11.7109375" style="76" customWidth="1"/>
    <col min="4831" max="4831" width="13.7109375" style="76" customWidth="1"/>
    <col min="4832" max="4832" width="13.28515625" style="76" customWidth="1"/>
    <col min="4833" max="4833" width="13.140625" style="76" customWidth="1"/>
    <col min="4834" max="4834" width="12" style="76" customWidth="1"/>
    <col min="4835" max="4835" width="12.140625" style="76" customWidth="1"/>
    <col min="4836" max="4836" width="12.28515625" style="76" customWidth="1"/>
    <col min="4837" max="4837" width="12.140625" style="76" customWidth="1"/>
    <col min="4838" max="4838" width="12.5703125" style="76" customWidth="1"/>
    <col min="4839" max="5055" width="9.140625" style="76"/>
    <col min="5056" max="5056" width="25.42578125" style="76" customWidth="1"/>
    <col min="5057" max="5057" width="56.28515625" style="76" customWidth="1"/>
    <col min="5058" max="5058" width="14" style="76" customWidth="1"/>
    <col min="5059" max="5060" width="14.5703125" style="76" customWidth="1"/>
    <col min="5061" max="5061" width="14.140625" style="76" customWidth="1"/>
    <col min="5062" max="5062" width="15.140625" style="76" customWidth="1"/>
    <col min="5063" max="5063" width="13.85546875" style="76" customWidth="1"/>
    <col min="5064" max="5065" width="14.7109375" style="76" customWidth="1"/>
    <col min="5066" max="5066" width="12.85546875" style="76" customWidth="1"/>
    <col min="5067" max="5067" width="13.5703125" style="76" customWidth="1"/>
    <col min="5068" max="5068" width="12.7109375" style="76" customWidth="1"/>
    <col min="5069" max="5069" width="13.42578125" style="76" customWidth="1"/>
    <col min="5070" max="5070" width="13.140625" style="76" customWidth="1"/>
    <col min="5071" max="5071" width="14.7109375" style="76" customWidth="1"/>
    <col min="5072" max="5072" width="14.5703125" style="76" customWidth="1"/>
    <col min="5073" max="5073" width="13" style="76" customWidth="1"/>
    <col min="5074" max="5074" width="15" style="76" customWidth="1"/>
    <col min="5075" max="5076" width="12.140625" style="76" customWidth="1"/>
    <col min="5077" max="5077" width="12" style="76" customWidth="1"/>
    <col min="5078" max="5078" width="13.5703125" style="76" customWidth="1"/>
    <col min="5079" max="5079" width="14" style="76" customWidth="1"/>
    <col min="5080" max="5080" width="12.28515625" style="76" customWidth="1"/>
    <col min="5081" max="5081" width="14.140625" style="76" customWidth="1"/>
    <col min="5082" max="5082" width="13" style="76" customWidth="1"/>
    <col min="5083" max="5083" width="13.5703125" style="76" customWidth="1"/>
    <col min="5084" max="5084" width="12.42578125" style="76" customWidth="1"/>
    <col min="5085" max="5085" width="12.5703125" style="76" customWidth="1"/>
    <col min="5086" max="5086" width="11.7109375" style="76" customWidth="1"/>
    <col min="5087" max="5087" width="13.7109375" style="76" customWidth="1"/>
    <col min="5088" max="5088" width="13.28515625" style="76" customWidth="1"/>
    <col min="5089" max="5089" width="13.140625" style="76" customWidth="1"/>
    <col min="5090" max="5090" width="12" style="76" customWidth="1"/>
    <col min="5091" max="5091" width="12.140625" style="76" customWidth="1"/>
    <col min="5092" max="5092" width="12.28515625" style="76" customWidth="1"/>
    <col min="5093" max="5093" width="12.140625" style="76" customWidth="1"/>
    <col min="5094" max="5094" width="12.5703125" style="76" customWidth="1"/>
    <col min="5095" max="5311" width="9.140625" style="76"/>
    <col min="5312" max="5312" width="25.42578125" style="76" customWidth="1"/>
    <col min="5313" max="5313" width="56.28515625" style="76" customWidth="1"/>
    <col min="5314" max="5314" width="14" style="76" customWidth="1"/>
    <col min="5315" max="5316" width="14.5703125" style="76" customWidth="1"/>
    <col min="5317" max="5317" width="14.140625" style="76" customWidth="1"/>
    <col min="5318" max="5318" width="15.140625" style="76" customWidth="1"/>
    <col min="5319" max="5319" width="13.85546875" style="76" customWidth="1"/>
    <col min="5320" max="5321" width="14.7109375" style="76" customWidth="1"/>
    <col min="5322" max="5322" width="12.85546875" style="76" customWidth="1"/>
    <col min="5323" max="5323" width="13.5703125" style="76" customWidth="1"/>
    <col min="5324" max="5324" width="12.7109375" style="76" customWidth="1"/>
    <col min="5325" max="5325" width="13.42578125" style="76" customWidth="1"/>
    <col min="5326" max="5326" width="13.140625" style="76" customWidth="1"/>
    <col min="5327" max="5327" width="14.7109375" style="76" customWidth="1"/>
    <col min="5328" max="5328" width="14.5703125" style="76" customWidth="1"/>
    <col min="5329" max="5329" width="13" style="76" customWidth="1"/>
    <col min="5330" max="5330" width="15" style="76" customWidth="1"/>
    <col min="5331" max="5332" width="12.140625" style="76" customWidth="1"/>
    <col min="5333" max="5333" width="12" style="76" customWidth="1"/>
    <col min="5334" max="5334" width="13.5703125" style="76" customWidth="1"/>
    <col min="5335" max="5335" width="14" style="76" customWidth="1"/>
    <col min="5336" max="5336" width="12.28515625" style="76" customWidth="1"/>
    <col min="5337" max="5337" width="14.140625" style="76" customWidth="1"/>
    <col min="5338" max="5338" width="13" style="76" customWidth="1"/>
    <col min="5339" max="5339" width="13.5703125" style="76" customWidth="1"/>
    <col min="5340" max="5340" width="12.42578125" style="76" customWidth="1"/>
    <col min="5341" max="5341" width="12.5703125" style="76" customWidth="1"/>
    <col min="5342" max="5342" width="11.7109375" style="76" customWidth="1"/>
    <col min="5343" max="5343" width="13.7109375" style="76" customWidth="1"/>
    <col min="5344" max="5344" width="13.28515625" style="76" customWidth="1"/>
    <col min="5345" max="5345" width="13.140625" style="76" customWidth="1"/>
    <col min="5346" max="5346" width="12" style="76" customWidth="1"/>
    <col min="5347" max="5347" width="12.140625" style="76" customWidth="1"/>
    <col min="5348" max="5348" width="12.28515625" style="76" customWidth="1"/>
    <col min="5349" max="5349" width="12.140625" style="76" customWidth="1"/>
    <col min="5350" max="5350" width="12.5703125" style="76" customWidth="1"/>
    <col min="5351" max="5567" width="9.140625" style="76"/>
    <col min="5568" max="5568" width="25.42578125" style="76" customWidth="1"/>
    <col min="5569" max="5569" width="56.28515625" style="76" customWidth="1"/>
    <col min="5570" max="5570" width="14" style="76" customWidth="1"/>
    <col min="5571" max="5572" width="14.5703125" style="76" customWidth="1"/>
    <col min="5573" max="5573" width="14.140625" style="76" customWidth="1"/>
    <col min="5574" max="5574" width="15.140625" style="76" customWidth="1"/>
    <col min="5575" max="5575" width="13.85546875" style="76" customWidth="1"/>
    <col min="5576" max="5577" width="14.7109375" style="76" customWidth="1"/>
    <col min="5578" max="5578" width="12.85546875" style="76" customWidth="1"/>
    <col min="5579" max="5579" width="13.5703125" style="76" customWidth="1"/>
    <col min="5580" max="5580" width="12.7109375" style="76" customWidth="1"/>
    <col min="5581" max="5581" width="13.42578125" style="76" customWidth="1"/>
    <col min="5582" max="5582" width="13.140625" style="76" customWidth="1"/>
    <col min="5583" max="5583" width="14.7109375" style="76" customWidth="1"/>
    <col min="5584" max="5584" width="14.5703125" style="76" customWidth="1"/>
    <col min="5585" max="5585" width="13" style="76" customWidth="1"/>
    <col min="5586" max="5586" width="15" style="76" customWidth="1"/>
    <col min="5587" max="5588" width="12.140625" style="76" customWidth="1"/>
    <col min="5589" max="5589" width="12" style="76" customWidth="1"/>
    <col min="5590" max="5590" width="13.5703125" style="76" customWidth="1"/>
    <col min="5591" max="5591" width="14" style="76" customWidth="1"/>
    <col min="5592" max="5592" width="12.28515625" style="76" customWidth="1"/>
    <col min="5593" max="5593" width="14.140625" style="76" customWidth="1"/>
    <col min="5594" max="5594" width="13" style="76" customWidth="1"/>
    <col min="5595" max="5595" width="13.5703125" style="76" customWidth="1"/>
    <col min="5596" max="5596" width="12.42578125" style="76" customWidth="1"/>
    <col min="5597" max="5597" width="12.5703125" style="76" customWidth="1"/>
    <col min="5598" max="5598" width="11.7109375" style="76" customWidth="1"/>
    <col min="5599" max="5599" width="13.7109375" style="76" customWidth="1"/>
    <col min="5600" max="5600" width="13.28515625" style="76" customWidth="1"/>
    <col min="5601" max="5601" width="13.140625" style="76" customWidth="1"/>
    <col min="5602" max="5602" width="12" style="76" customWidth="1"/>
    <col min="5603" max="5603" width="12.140625" style="76" customWidth="1"/>
    <col min="5604" max="5604" width="12.28515625" style="76" customWidth="1"/>
    <col min="5605" max="5605" width="12.140625" style="76" customWidth="1"/>
    <col min="5606" max="5606" width="12.5703125" style="76" customWidth="1"/>
    <col min="5607" max="5823" width="9.140625" style="76"/>
    <col min="5824" max="5824" width="25.42578125" style="76" customWidth="1"/>
    <col min="5825" max="5825" width="56.28515625" style="76" customWidth="1"/>
    <col min="5826" max="5826" width="14" style="76" customWidth="1"/>
    <col min="5827" max="5828" width="14.5703125" style="76" customWidth="1"/>
    <col min="5829" max="5829" width="14.140625" style="76" customWidth="1"/>
    <col min="5830" max="5830" width="15.140625" style="76" customWidth="1"/>
    <col min="5831" max="5831" width="13.85546875" style="76" customWidth="1"/>
    <col min="5832" max="5833" width="14.7109375" style="76" customWidth="1"/>
    <col min="5834" max="5834" width="12.85546875" style="76" customWidth="1"/>
    <col min="5835" max="5835" width="13.5703125" style="76" customWidth="1"/>
    <col min="5836" max="5836" width="12.7109375" style="76" customWidth="1"/>
    <col min="5837" max="5837" width="13.42578125" style="76" customWidth="1"/>
    <col min="5838" max="5838" width="13.140625" style="76" customWidth="1"/>
    <col min="5839" max="5839" width="14.7109375" style="76" customWidth="1"/>
    <col min="5840" max="5840" width="14.5703125" style="76" customWidth="1"/>
    <col min="5841" max="5841" width="13" style="76" customWidth="1"/>
    <col min="5842" max="5842" width="15" style="76" customWidth="1"/>
    <col min="5843" max="5844" width="12.140625" style="76" customWidth="1"/>
    <col min="5845" max="5845" width="12" style="76" customWidth="1"/>
    <col min="5846" max="5846" width="13.5703125" style="76" customWidth="1"/>
    <col min="5847" max="5847" width="14" style="76" customWidth="1"/>
    <col min="5848" max="5848" width="12.28515625" style="76" customWidth="1"/>
    <col min="5849" max="5849" width="14.140625" style="76" customWidth="1"/>
    <col min="5850" max="5850" width="13" style="76" customWidth="1"/>
    <col min="5851" max="5851" width="13.5703125" style="76" customWidth="1"/>
    <col min="5852" max="5852" width="12.42578125" style="76" customWidth="1"/>
    <col min="5853" max="5853" width="12.5703125" style="76" customWidth="1"/>
    <col min="5854" max="5854" width="11.7109375" style="76" customWidth="1"/>
    <col min="5855" max="5855" width="13.7109375" style="76" customWidth="1"/>
    <col min="5856" max="5856" width="13.28515625" style="76" customWidth="1"/>
    <col min="5857" max="5857" width="13.140625" style="76" customWidth="1"/>
    <col min="5858" max="5858" width="12" style="76" customWidth="1"/>
    <col min="5859" max="5859" width="12.140625" style="76" customWidth="1"/>
    <col min="5860" max="5860" width="12.28515625" style="76" customWidth="1"/>
    <col min="5861" max="5861" width="12.140625" style="76" customWidth="1"/>
    <col min="5862" max="5862" width="12.5703125" style="76" customWidth="1"/>
    <col min="5863" max="6079" width="9.140625" style="76"/>
    <col min="6080" max="6080" width="25.42578125" style="76" customWidth="1"/>
    <col min="6081" max="6081" width="56.28515625" style="76" customWidth="1"/>
    <col min="6082" max="6082" width="14" style="76" customWidth="1"/>
    <col min="6083" max="6084" width="14.5703125" style="76" customWidth="1"/>
    <col min="6085" max="6085" width="14.140625" style="76" customWidth="1"/>
    <col min="6086" max="6086" width="15.140625" style="76" customWidth="1"/>
    <col min="6087" max="6087" width="13.85546875" style="76" customWidth="1"/>
    <col min="6088" max="6089" width="14.7109375" style="76" customWidth="1"/>
    <col min="6090" max="6090" width="12.85546875" style="76" customWidth="1"/>
    <col min="6091" max="6091" width="13.5703125" style="76" customWidth="1"/>
    <col min="6092" max="6092" width="12.7109375" style="76" customWidth="1"/>
    <col min="6093" max="6093" width="13.42578125" style="76" customWidth="1"/>
    <col min="6094" max="6094" width="13.140625" style="76" customWidth="1"/>
    <col min="6095" max="6095" width="14.7109375" style="76" customWidth="1"/>
    <col min="6096" max="6096" width="14.5703125" style="76" customWidth="1"/>
    <col min="6097" max="6097" width="13" style="76" customWidth="1"/>
    <col min="6098" max="6098" width="15" style="76" customWidth="1"/>
    <col min="6099" max="6100" width="12.140625" style="76" customWidth="1"/>
    <col min="6101" max="6101" width="12" style="76" customWidth="1"/>
    <col min="6102" max="6102" width="13.5703125" style="76" customWidth="1"/>
    <col min="6103" max="6103" width="14" style="76" customWidth="1"/>
    <col min="6104" max="6104" width="12.28515625" style="76" customWidth="1"/>
    <col min="6105" max="6105" width="14.140625" style="76" customWidth="1"/>
    <col min="6106" max="6106" width="13" style="76" customWidth="1"/>
    <col min="6107" max="6107" width="13.5703125" style="76" customWidth="1"/>
    <col min="6108" max="6108" width="12.42578125" style="76" customWidth="1"/>
    <col min="6109" max="6109" width="12.5703125" style="76" customWidth="1"/>
    <col min="6110" max="6110" width="11.7109375" style="76" customWidth="1"/>
    <col min="6111" max="6111" width="13.7109375" style="76" customWidth="1"/>
    <col min="6112" max="6112" width="13.28515625" style="76" customWidth="1"/>
    <col min="6113" max="6113" width="13.140625" style="76" customWidth="1"/>
    <col min="6114" max="6114" width="12" style="76" customWidth="1"/>
    <col min="6115" max="6115" width="12.140625" style="76" customWidth="1"/>
    <col min="6116" max="6116" width="12.28515625" style="76" customWidth="1"/>
    <col min="6117" max="6117" width="12.140625" style="76" customWidth="1"/>
    <col min="6118" max="6118" width="12.5703125" style="76" customWidth="1"/>
    <col min="6119" max="6335" width="9.140625" style="76"/>
    <col min="6336" max="6336" width="25.42578125" style="76" customWidth="1"/>
    <col min="6337" max="6337" width="56.28515625" style="76" customWidth="1"/>
    <col min="6338" max="6338" width="14" style="76" customWidth="1"/>
    <col min="6339" max="6340" width="14.5703125" style="76" customWidth="1"/>
    <col min="6341" max="6341" width="14.140625" style="76" customWidth="1"/>
    <col min="6342" max="6342" width="15.140625" style="76" customWidth="1"/>
    <col min="6343" max="6343" width="13.85546875" style="76" customWidth="1"/>
    <col min="6344" max="6345" width="14.7109375" style="76" customWidth="1"/>
    <col min="6346" max="6346" width="12.85546875" style="76" customWidth="1"/>
    <col min="6347" max="6347" width="13.5703125" style="76" customWidth="1"/>
    <col min="6348" max="6348" width="12.7109375" style="76" customWidth="1"/>
    <col min="6349" max="6349" width="13.42578125" style="76" customWidth="1"/>
    <col min="6350" max="6350" width="13.140625" style="76" customWidth="1"/>
    <col min="6351" max="6351" width="14.7109375" style="76" customWidth="1"/>
    <col min="6352" max="6352" width="14.5703125" style="76" customWidth="1"/>
    <col min="6353" max="6353" width="13" style="76" customWidth="1"/>
    <col min="6354" max="6354" width="15" style="76" customWidth="1"/>
    <col min="6355" max="6356" width="12.140625" style="76" customWidth="1"/>
    <col min="6357" max="6357" width="12" style="76" customWidth="1"/>
    <col min="6358" max="6358" width="13.5703125" style="76" customWidth="1"/>
    <col min="6359" max="6359" width="14" style="76" customWidth="1"/>
    <col min="6360" max="6360" width="12.28515625" style="76" customWidth="1"/>
    <col min="6361" max="6361" width="14.140625" style="76" customWidth="1"/>
    <col min="6362" max="6362" width="13" style="76" customWidth="1"/>
    <col min="6363" max="6363" width="13.5703125" style="76" customWidth="1"/>
    <col min="6364" max="6364" width="12.42578125" style="76" customWidth="1"/>
    <col min="6365" max="6365" width="12.5703125" style="76" customWidth="1"/>
    <col min="6366" max="6366" width="11.7109375" style="76" customWidth="1"/>
    <col min="6367" max="6367" width="13.7109375" style="76" customWidth="1"/>
    <col min="6368" max="6368" width="13.28515625" style="76" customWidth="1"/>
    <col min="6369" max="6369" width="13.140625" style="76" customWidth="1"/>
    <col min="6370" max="6370" width="12" style="76" customWidth="1"/>
    <col min="6371" max="6371" width="12.140625" style="76" customWidth="1"/>
    <col min="6372" max="6372" width="12.28515625" style="76" customWidth="1"/>
    <col min="6373" max="6373" width="12.140625" style="76" customWidth="1"/>
    <col min="6374" max="6374" width="12.5703125" style="76" customWidth="1"/>
    <col min="6375" max="6591" width="9.140625" style="76"/>
    <col min="6592" max="6592" width="25.42578125" style="76" customWidth="1"/>
    <col min="6593" max="6593" width="56.28515625" style="76" customWidth="1"/>
    <col min="6594" max="6594" width="14" style="76" customWidth="1"/>
    <col min="6595" max="6596" width="14.5703125" style="76" customWidth="1"/>
    <col min="6597" max="6597" width="14.140625" style="76" customWidth="1"/>
    <col min="6598" max="6598" width="15.140625" style="76" customWidth="1"/>
    <col min="6599" max="6599" width="13.85546875" style="76" customWidth="1"/>
    <col min="6600" max="6601" width="14.7109375" style="76" customWidth="1"/>
    <col min="6602" max="6602" width="12.85546875" style="76" customWidth="1"/>
    <col min="6603" max="6603" width="13.5703125" style="76" customWidth="1"/>
    <col min="6604" max="6604" width="12.7109375" style="76" customWidth="1"/>
    <col min="6605" max="6605" width="13.42578125" style="76" customWidth="1"/>
    <col min="6606" max="6606" width="13.140625" style="76" customWidth="1"/>
    <col min="6607" max="6607" width="14.7109375" style="76" customWidth="1"/>
    <col min="6608" max="6608" width="14.5703125" style="76" customWidth="1"/>
    <col min="6609" max="6609" width="13" style="76" customWidth="1"/>
    <col min="6610" max="6610" width="15" style="76" customWidth="1"/>
    <col min="6611" max="6612" width="12.140625" style="76" customWidth="1"/>
    <col min="6613" max="6613" width="12" style="76" customWidth="1"/>
    <col min="6614" max="6614" width="13.5703125" style="76" customWidth="1"/>
    <col min="6615" max="6615" width="14" style="76" customWidth="1"/>
    <col min="6616" max="6616" width="12.28515625" style="76" customWidth="1"/>
    <col min="6617" max="6617" width="14.140625" style="76" customWidth="1"/>
    <col min="6618" max="6618" width="13" style="76" customWidth="1"/>
    <col min="6619" max="6619" width="13.5703125" style="76" customWidth="1"/>
    <col min="6620" max="6620" width="12.42578125" style="76" customWidth="1"/>
    <col min="6621" max="6621" width="12.5703125" style="76" customWidth="1"/>
    <col min="6622" max="6622" width="11.7109375" style="76" customWidth="1"/>
    <col min="6623" max="6623" width="13.7109375" style="76" customWidth="1"/>
    <col min="6624" max="6624" width="13.28515625" style="76" customWidth="1"/>
    <col min="6625" max="6625" width="13.140625" style="76" customWidth="1"/>
    <col min="6626" max="6626" width="12" style="76" customWidth="1"/>
    <col min="6627" max="6627" width="12.140625" style="76" customWidth="1"/>
    <col min="6628" max="6628" width="12.28515625" style="76" customWidth="1"/>
    <col min="6629" max="6629" width="12.140625" style="76" customWidth="1"/>
    <col min="6630" max="6630" width="12.5703125" style="76" customWidth="1"/>
    <col min="6631" max="6847" width="9.140625" style="76"/>
    <col min="6848" max="6848" width="25.42578125" style="76" customWidth="1"/>
    <col min="6849" max="6849" width="56.28515625" style="76" customWidth="1"/>
    <col min="6850" max="6850" width="14" style="76" customWidth="1"/>
    <col min="6851" max="6852" width="14.5703125" style="76" customWidth="1"/>
    <col min="6853" max="6853" width="14.140625" style="76" customWidth="1"/>
    <col min="6854" max="6854" width="15.140625" style="76" customWidth="1"/>
    <col min="6855" max="6855" width="13.85546875" style="76" customWidth="1"/>
    <col min="6856" max="6857" width="14.7109375" style="76" customWidth="1"/>
    <col min="6858" max="6858" width="12.85546875" style="76" customWidth="1"/>
    <col min="6859" max="6859" width="13.5703125" style="76" customWidth="1"/>
    <col min="6860" max="6860" width="12.7109375" style="76" customWidth="1"/>
    <col min="6861" max="6861" width="13.42578125" style="76" customWidth="1"/>
    <col min="6862" max="6862" width="13.140625" style="76" customWidth="1"/>
    <col min="6863" max="6863" width="14.7109375" style="76" customWidth="1"/>
    <col min="6864" max="6864" width="14.5703125" style="76" customWidth="1"/>
    <col min="6865" max="6865" width="13" style="76" customWidth="1"/>
    <col min="6866" max="6866" width="15" style="76" customWidth="1"/>
    <col min="6867" max="6868" width="12.140625" style="76" customWidth="1"/>
    <col min="6869" max="6869" width="12" style="76" customWidth="1"/>
    <col min="6870" max="6870" width="13.5703125" style="76" customWidth="1"/>
    <col min="6871" max="6871" width="14" style="76" customWidth="1"/>
    <col min="6872" max="6872" width="12.28515625" style="76" customWidth="1"/>
    <col min="6873" max="6873" width="14.140625" style="76" customWidth="1"/>
    <col min="6874" max="6874" width="13" style="76" customWidth="1"/>
    <col min="6875" max="6875" width="13.5703125" style="76" customWidth="1"/>
    <col min="6876" max="6876" width="12.42578125" style="76" customWidth="1"/>
    <col min="6877" max="6877" width="12.5703125" style="76" customWidth="1"/>
    <col min="6878" max="6878" width="11.7109375" style="76" customWidth="1"/>
    <col min="6879" max="6879" width="13.7109375" style="76" customWidth="1"/>
    <col min="6880" max="6880" width="13.28515625" style="76" customWidth="1"/>
    <col min="6881" max="6881" width="13.140625" style="76" customWidth="1"/>
    <col min="6882" max="6882" width="12" style="76" customWidth="1"/>
    <col min="6883" max="6883" width="12.140625" style="76" customWidth="1"/>
    <col min="6884" max="6884" width="12.28515625" style="76" customWidth="1"/>
    <col min="6885" max="6885" width="12.140625" style="76" customWidth="1"/>
    <col min="6886" max="6886" width="12.5703125" style="76" customWidth="1"/>
    <col min="6887" max="7103" width="9.140625" style="76"/>
    <col min="7104" max="7104" width="25.42578125" style="76" customWidth="1"/>
    <col min="7105" max="7105" width="56.28515625" style="76" customWidth="1"/>
    <col min="7106" max="7106" width="14" style="76" customWidth="1"/>
    <col min="7107" max="7108" width="14.5703125" style="76" customWidth="1"/>
    <col min="7109" max="7109" width="14.140625" style="76" customWidth="1"/>
    <col min="7110" max="7110" width="15.140625" style="76" customWidth="1"/>
    <col min="7111" max="7111" width="13.85546875" style="76" customWidth="1"/>
    <col min="7112" max="7113" width="14.7109375" style="76" customWidth="1"/>
    <col min="7114" max="7114" width="12.85546875" style="76" customWidth="1"/>
    <col min="7115" max="7115" width="13.5703125" style="76" customWidth="1"/>
    <col min="7116" max="7116" width="12.7109375" style="76" customWidth="1"/>
    <col min="7117" max="7117" width="13.42578125" style="76" customWidth="1"/>
    <col min="7118" max="7118" width="13.140625" style="76" customWidth="1"/>
    <col min="7119" max="7119" width="14.7109375" style="76" customWidth="1"/>
    <col min="7120" max="7120" width="14.5703125" style="76" customWidth="1"/>
    <col min="7121" max="7121" width="13" style="76" customWidth="1"/>
    <col min="7122" max="7122" width="15" style="76" customWidth="1"/>
    <col min="7123" max="7124" width="12.140625" style="76" customWidth="1"/>
    <col min="7125" max="7125" width="12" style="76" customWidth="1"/>
    <col min="7126" max="7126" width="13.5703125" style="76" customWidth="1"/>
    <col min="7127" max="7127" width="14" style="76" customWidth="1"/>
    <col min="7128" max="7128" width="12.28515625" style="76" customWidth="1"/>
    <col min="7129" max="7129" width="14.140625" style="76" customWidth="1"/>
    <col min="7130" max="7130" width="13" style="76" customWidth="1"/>
    <col min="7131" max="7131" width="13.5703125" style="76" customWidth="1"/>
    <col min="7132" max="7132" width="12.42578125" style="76" customWidth="1"/>
    <col min="7133" max="7133" width="12.5703125" style="76" customWidth="1"/>
    <col min="7134" max="7134" width="11.7109375" style="76" customWidth="1"/>
    <col min="7135" max="7135" width="13.7109375" style="76" customWidth="1"/>
    <col min="7136" max="7136" width="13.28515625" style="76" customWidth="1"/>
    <col min="7137" max="7137" width="13.140625" style="76" customWidth="1"/>
    <col min="7138" max="7138" width="12" style="76" customWidth="1"/>
    <col min="7139" max="7139" width="12.140625" style="76" customWidth="1"/>
    <col min="7140" max="7140" width="12.28515625" style="76" customWidth="1"/>
    <col min="7141" max="7141" width="12.140625" style="76" customWidth="1"/>
    <col min="7142" max="7142" width="12.5703125" style="76" customWidth="1"/>
    <col min="7143" max="7359" width="9.140625" style="76"/>
    <col min="7360" max="7360" width="25.42578125" style="76" customWidth="1"/>
    <col min="7361" max="7361" width="56.28515625" style="76" customWidth="1"/>
    <col min="7362" max="7362" width="14" style="76" customWidth="1"/>
    <col min="7363" max="7364" width="14.5703125" style="76" customWidth="1"/>
    <col min="7365" max="7365" width="14.140625" style="76" customWidth="1"/>
    <col min="7366" max="7366" width="15.140625" style="76" customWidth="1"/>
    <col min="7367" max="7367" width="13.85546875" style="76" customWidth="1"/>
    <col min="7368" max="7369" width="14.7109375" style="76" customWidth="1"/>
    <col min="7370" max="7370" width="12.85546875" style="76" customWidth="1"/>
    <col min="7371" max="7371" width="13.5703125" style="76" customWidth="1"/>
    <col min="7372" max="7372" width="12.7109375" style="76" customWidth="1"/>
    <col min="7373" max="7373" width="13.42578125" style="76" customWidth="1"/>
    <col min="7374" max="7374" width="13.140625" style="76" customWidth="1"/>
    <col min="7375" max="7375" width="14.7109375" style="76" customWidth="1"/>
    <col min="7376" max="7376" width="14.5703125" style="76" customWidth="1"/>
    <col min="7377" max="7377" width="13" style="76" customWidth="1"/>
    <col min="7378" max="7378" width="15" style="76" customWidth="1"/>
    <col min="7379" max="7380" width="12.140625" style="76" customWidth="1"/>
    <col min="7381" max="7381" width="12" style="76" customWidth="1"/>
    <col min="7382" max="7382" width="13.5703125" style="76" customWidth="1"/>
    <col min="7383" max="7383" width="14" style="76" customWidth="1"/>
    <col min="7384" max="7384" width="12.28515625" style="76" customWidth="1"/>
    <col min="7385" max="7385" width="14.140625" style="76" customWidth="1"/>
    <col min="7386" max="7386" width="13" style="76" customWidth="1"/>
    <col min="7387" max="7387" width="13.5703125" style="76" customWidth="1"/>
    <col min="7388" max="7388" width="12.42578125" style="76" customWidth="1"/>
    <col min="7389" max="7389" width="12.5703125" style="76" customWidth="1"/>
    <col min="7390" max="7390" width="11.7109375" style="76" customWidth="1"/>
    <col min="7391" max="7391" width="13.7109375" style="76" customWidth="1"/>
    <col min="7392" max="7392" width="13.28515625" style="76" customWidth="1"/>
    <col min="7393" max="7393" width="13.140625" style="76" customWidth="1"/>
    <col min="7394" max="7394" width="12" style="76" customWidth="1"/>
    <col min="7395" max="7395" width="12.140625" style="76" customWidth="1"/>
    <col min="7396" max="7396" width="12.28515625" style="76" customWidth="1"/>
    <col min="7397" max="7397" width="12.140625" style="76" customWidth="1"/>
    <col min="7398" max="7398" width="12.5703125" style="76" customWidth="1"/>
    <col min="7399" max="7615" width="9.140625" style="76"/>
    <col min="7616" max="7616" width="25.42578125" style="76" customWidth="1"/>
    <col min="7617" max="7617" width="56.28515625" style="76" customWidth="1"/>
    <col min="7618" max="7618" width="14" style="76" customWidth="1"/>
    <col min="7619" max="7620" width="14.5703125" style="76" customWidth="1"/>
    <col min="7621" max="7621" width="14.140625" style="76" customWidth="1"/>
    <col min="7622" max="7622" width="15.140625" style="76" customWidth="1"/>
    <col min="7623" max="7623" width="13.85546875" style="76" customWidth="1"/>
    <col min="7624" max="7625" width="14.7109375" style="76" customWidth="1"/>
    <col min="7626" max="7626" width="12.85546875" style="76" customWidth="1"/>
    <col min="7627" max="7627" width="13.5703125" style="76" customWidth="1"/>
    <col min="7628" max="7628" width="12.7109375" style="76" customWidth="1"/>
    <col min="7629" max="7629" width="13.42578125" style="76" customWidth="1"/>
    <col min="7630" max="7630" width="13.140625" style="76" customWidth="1"/>
    <col min="7631" max="7631" width="14.7109375" style="76" customWidth="1"/>
    <col min="7632" max="7632" width="14.5703125" style="76" customWidth="1"/>
    <col min="7633" max="7633" width="13" style="76" customWidth="1"/>
    <col min="7634" max="7634" width="15" style="76" customWidth="1"/>
    <col min="7635" max="7636" width="12.140625" style="76" customWidth="1"/>
    <col min="7637" max="7637" width="12" style="76" customWidth="1"/>
    <col min="7638" max="7638" width="13.5703125" style="76" customWidth="1"/>
    <col min="7639" max="7639" width="14" style="76" customWidth="1"/>
    <col min="7640" max="7640" width="12.28515625" style="76" customWidth="1"/>
    <col min="7641" max="7641" width="14.140625" style="76" customWidth="1"/>
    <col min="7642" max="7642" width="13" style="76" customWidth="1"/>
    <col min="7643" max="7643" width="13.5703125" style="76" customWidth="1"/>
    <col min="7644" max="7644" width="12.42578125" style="76" customWidth="1"/>
    <col min="7645" max="7645" width="12.5703125" style="76" customWidth="1"/>
    <col min="7646" max="7646" width="11.7109375" style="76" customWidth="1"/>
    <col min="7647" max="7647" width="13.7109375" style="76" customWidth="1"/>
    <col min="7648" max="7648" width="13.28515625" style="76" customWidth="1"/>
    <col min="7649" max="7649" width="13.140625" style="76" customWidth="1"/>
    <col min="7650" max="7650" width="12" style="76" customWidth="1"/>
    <col min="7651" max="7651" width="12.140625" style="76" customWidth="1"/>
    <col min="7652" max="7652" width="12.28515625" style="76" customWidth="1"/>
    <col min="7653" max="7653" width="12.140625" style="76" customWidth="1"/>
    <col min="7654" max="7654" width="12.5703125" style="76" customWidth="1"/>
    <col min="7655" max="7871" width="9.140625" style="76"/>
    <col min="7872" max="7872" width="25.42578125" style="76" customWidth="1"/>
    <col min="7873" max="7873" width="56.28515625" style="76" customWidth="1"/>
    <col min="7874" max="7874" width="14" style="76" customWidth="1"/>
    <col min="7875" max="7876" width="14.5703125" style="76" customWidth="1"/>
    <col min="7877" max="7877" width="14.140625" style="76" customWidth="1"/>
    <col min="7878" max="7878" width="15.140625" style="76" customWidth="1"/>
    <col min="7879" max="7879" width="13.85546875" style="76" customWidth="1"/>
    <col min="7880" max="7881" width="14.7109375" style="76" customWidth="1"/>
    <col min="7882" max="7882" width="12.85546875" style="76" customWidth="1"/>
    <col min="7883" max="7883" width="13.5703125" style="76" customWidth="1"/>
    <col min="7884" max="7884" width="12.7109375" style="76" customWidth="1"/>
    <col min="7885" max="7885" width="13.42578125" style="76" customWidth="1"/>
    <col min="7886" max="7886" width="13.140625" style="76" customWidth="1"/>
    <col min="7887" max="7887" width="14.7109375" style="76" customWidth="1"/>
    <col min="7888" max="7888" width="14.5703125" style="76" customWidth="1"/>
    <col min="7889" max="7889" width="13" style="76" customWidth="1"/>
    <col min="7890" max="7890" width="15" style="76" customWidth="1"/>
    <col min="7891" max="7892" width="12.140625" style="76" customWidth="1"/>
    <col min="7893" max="7893" width="12" style="76" customWidth="1"/>
    <col min="7894" max="7894" width="13.5703125" style="76" customWidth="1"/>
    <col min="7895" max="7895" width="14" style="76" customWidth="1"/>
    <col min="7896" max="7896" width="12.28515625" style="76" customWidth="1"/>
    <col min="7897" max="7897" width="14.140625" style="76" customWidth="1"/>
    <col min="7898" max="7898" width="13" style="76" customWidth="1"/>
    <col min="7899" max="7899" width="13.5703125" style="76" customWidth="1"/>
    <col min="7900" max="7900" width="12.42578125" style="76" customWidth="1"/>
    <col min="7901" max="7901" width="12.5703125" style="76" customWidth="1"/>
    <col min="7902" max="7902" width="11.7109375" style="76" customWidth="1"/>
    <col min="7903" max="7903" width="13.7109375" style="76" customWidth="1"/>
    <col min="7904" max="7904" width="13.28515625" style="76" customWidth="1"/>
    <col min="7905" max="7905" width="13.140625" style="76" customWidth="1"/>
    <col min="7906" max="7906" width="12" style="76" customWidth="1"/>
    <col min="7907" max="7907" width="12.140625" style="76" customWidth="1"/>
    <col min="7908" max="7908" width="12.28515625" style="76" customWidth="1"/>
    <col min="7909" max="7909" width="12.140625" style="76" customWidth="1"/>
    <col min="7910" max="7910" width="12.5703125" style="76" customWidth="1"/>
    <col min="7911" max="8127" width="9.140625" style="76"/>
    <col min="8128" max="8128" width="25.42578125" style="76" customWidth="1"/>
    <col min="8129" max="8129" width="56.28515625" style="76" customWidth="1"/>
    <col min="8130" max="8130" width="14" style="76" customWidth="1"/>
    <col min="8131" max="8132" width="14.5703125" style="76" customWidth="1"/>
    <col min="8133" max="8133" width="14.140625" style="76" customWidth="1"/>
    <col min="8134" max="8134" width="15.140625" style="76" customWidth="1"/>
    <col min="8135" max="8135" width="13.85546875" style="76" customWidth="1"/>
    <col min="8136" max="8137" width="14.7109375" style="76" customWidth="1"/>
    <col min="8138" max="8138" width="12.85546875" style="76" customWidth="1"/>
    <col min="8139" max="8139" width="13.5703125" style="76" customWidth="1"/>
    <col min="8140" max="8140" width="12.7109375" style="76" customWidth="1"/>
    <col min="8141" max="8141" width="13.42578125" style="76" customWidth="1"/>
    <col min="8142" max="8142" width="13.140625" style="76" customWidth="1"/>
    <col min="8143" max="8143" width="14.7109375" style="76" customWidth="1"/>
    <col min="8144" max="8144" width="14.5703125" style="76" customWidth="1"/>
    <col min="8145" max="8145" width="13" style="76" customWidth="1"/>
    <col min="8146" max="8146" width="15" style="76" customWidth="1"/>
    <col min="8147" max="8148" width="12.140625" style="76" customWidth="1"/>
    <col min="8149" max="8149" width="12" style="76" customWidth="1"/>
    <col min="8150" max="8150" width="13.5703125" style="76" customWidth="1"/>
    <col min="8151" max="8151" width="14" style="76" customWidth="1"/>
    <col min="8152" max="8152" width="12.28515625" style="76" customWidth="1"/>
    <col min="8153" max="8153" width="14.140625" style="76" customWidth="1"/>
    <col min="8154" max="8154" width="13" style="76" customWidth="1"/>
    <col min="8155" max="8155" width="13.5703125" style="76" customWidth="1"/>
    <col min="8156" max="8156" width="12.42578125" style="76" customWidth="1"/>
    <col min="8157" max="8157" width="12.5703125" style="76" customWidth="1"/>
    <col min="8158" max="8158" width="11.7109375" style="76" customWidth="1"/>
    <col min="8159" max="8159" width="13.7109375" style="76" customWidth="1"/>
    <col min="8160" max="8160" width="13.28515625" style="76" customWidth="1"/>
    <col min="8161" max="8161" width="13.140625" style="76" customWidth="1"/>
    <col min="8162" max="8162" width="12" style="76" customWidth="1"/>
    <col min="8163" max="8163" width="12.140625" style="76" customWidth="1"/>
    <col min="8164" max="8164" width="12.28515625" style="76" customWidth="1"/>
    <col min="8165" max="8165" width="12.140625" style="76" customWidth="1"/>
    <col min="8166" max="8166" width="12.5703125" style="76" customWidth="1"/>
    <col min="8167" max="8383" width="9.140625" style="76"/>
    <col min="8384" max="8384" width="25.42578125" style="76" customWidth="1"/>
    <col min="8385" max="8385" width="56.28515625" style="76" customWidth="1"/>
    <col min="8386" max="8386" width="14" style="76" customWidth="1"/>
    <col min="8387" max="8388" width="14.5703125" style="76" customWidth="1"/>
    <col min="8389" max="8389" width="14.140625" style="76" customWidth="1"/>
    <col min="8390" max="8390" width="15.140625" style="76" customWidth="1"/>
    <col min="8391" max="8391" width="13.85546875" style="76" customWidth="1"/>
    <col min="8392" max="8393" width="14.7109375" style="76" customWidth="1"/>
    <col min="8394" max="8394" width="12.85546875" style="76" customWidth="1"/>
    <col min="8395" max="8395" width="13.5703125" style="76" customWidth="1"/>
    <col min="8396" max="8396" width="12.7109375" style="76" customWidth="1"/>
    <col min="8397" max="8397" width="13.42578125" style="76" customWidth="1"/>
    <col min="8398" max="8398" width="13.140625" style="76" customWidth="1"/>
    <col min="8399" max="8399" width="14.7109375" style="76" customWidth="1"/>
    <col min="8400" max="8400" width="14.5703125" style="76" customWidth="1"/>
    <col min="8401" max="8401" width="13" style="76" customWidth="1"/>
    <col min="8402" max="8402" width="15" style="76" customWidth="1"/>
    <col min="8403" max="8404" width="12.140625" style="76" customWidth="1"/>
    <col min="8405" max="8405" width="12" style="76" customWidth="1"/>
    <col min="8406" max="8406" width="13.5703125" style="76" customWidth="1"/>
    <col min="8407" max="8407" width="14" style="76" customWidth="1"/>
    <col min="8408" max="8408" width="12.28515625" style="76" customWidth="1"/>
    <col min="8409" max="8409" width="14.140625" style="76" customWidth="1"/>
    <col min="8410" max="8410" width="13" style="76" customWidth="1"/>
    <col min="8411" max="8411" width="13.5703125" style="76" customWidth="1"/>
    <col min="8412" max="8412" width="12.42578125" style="76" customWidth="1"/>
    <col min="8413" max="8413" width="12.5703125" style="76" customWidth="1"/>
    <col min="8414" max="8414" width="11.7109375" style="76" customWidth="1"/>
    <col min="8415" max="8415" width="13.7109375" style="76" customWidth="1"/>
    <col min="8416" max="8416" width="13.28515625" style="76" customWidth="1"/>
    <col min="8417" max="8417" width="13.140625" style="76" customWidth="1"/>
    <col min="8418" max="8418" width="12" style="76" customWidth="1"/>
    <col min="8419" max="8419" width="12.140625" style="76" customWidth="1"/>
    <col min="8420" max="8420" width="12.28515625" style="76" customWidth="1"/>
    <col min="8421" max="8421" width="12.140625" style="76" customWidth="1"/>
    <col min="8422" max="8422" width="12.5703125" style="76" customWidth="1"/>
    <col min="8423" max="8639" width="9.140625" style="76"/>
    <col min="8640" max="8640" width="25.42578125" style="76" customWidth="1"/>
    <col min="8641" max="8641" width="56.28515625" style="76" customWidth="1"/>
    <col min="8642" max="8642" width="14" style="76" customWidth="1"/>
    <col min="8643" max="8644" width="14.5703125" style="76" customWidth="1"/>
    <col min="8645" max="8645" width="14.140625" style="76" customWidth="1"/>
    <col min="8646" max="8646" width="15.140625" style="76" customWidth="1"/>
    <col min="8647" max="8647" width="13.85546875" style="76" customWidth="1"/>
    <col min="8648" max="8649" width="14.7109375" style="76" customWidth="1"/>
    <col min="8650" max="8650" width="12.85546875" style="76" customWidth="1"/>
    <col min="8651" max="8651" width="13.5703125" style="76" customWidth="1"/>
    <col min="8652" max="8652" width="12.7109375" style="76" customWidth="1"/>
    <col min="8653" max="8653" width="13.42578125" style="76" customWidth="1"/>
    <col min="8654" max="8654" width="13.140625" style="76" customWidth="1"/>
    <col min="8655" max="8655" width="14.7109375" style="76" customWidth="1"/>
    <col min="8656" max="8656" width="14.5703125" style="76" customWidth="1"/>
    <col min="8657" max="8657" width="13" style="76" customWidth="1"/>
    <col min="8658" max="8658" width="15" style="76" customWidth="1"/>
    <col min="8659" max="8660" width="12.140625" style="76" customWidth="1"/>
    <col min="8661" max="8661" width="12" style="76" customWidth="1"/>
    <col min="8662" max="8662" width="13.5703125" style="76" customWidth="1"/>
    <col min="8663" max="8663" width="14" style="76" customWidth="1"/>
    <col min="8664" max="8664" width="12.28515625" style="76" customWidth="1"/>
    <col min="8665" max="8665" width="14.140625" style="76" customWidth="1"/>
    <col min="8666" max="8666" width="13" style="76" customWidth="1"/>
    <col min="8667" max="8667" width="13.5703125" style="76" customWidth="1"/>
    <col min="8668" max="8668" width="12.42578125" style="76" customWidth="1"/>
    <col min="8669" max="8669" width="12.5703125" style="76" customWidth="1"/>
    <col min="8670" max="8670" width="11.7109375" style="76" customWidth="1"/>
    <col min="8671" max="8671" width="13.7109375" style="76" customWidth="1"/>
    <col min="8672" max="8672" width="13.28515625" style="76" customWidth="1"/>
    <col min="8673" max="8673" width="13.140625" style="76" customWidth="1"/>
    <col min="8674" max="8674" width="12" style="76" customWidth="1"/>
    <col min="8675" max="8675" width="12.140625" style="76" customWidth="1"/>
    <col min="8676" max="8676" width="12.28515625" style="76" customWidth="1"/>
    <col min="8677" max="8677" width="12.140625" style="76" customWidth="1"/>
    <col min="8678" max="8678" width="12.5703125" style="76" customWidth="1"/>
    <col min="8679" max="8895" width="9.140625" style="76"/>
    <col min="8896" max="8896" width="25.42578125" style="76" customWidth="1"/>
    <col min="8897" max="8897" width="56.28515625" style="76" customWidth="1"/>
    <col min="8898" max="8898" width="14" style="76" customWidth="1"/>
    <col min="8899" max="8900" width="14.5703125" style="76" customWidth="1"/>
    <col min="8901" max="8901" width="14.140625" style="76" customWidth="1"/>
    <col min="8902" max="8902" width="15.140625" style="76" customWidth="1"/>
    <col min="8903" max="8903" width="13.85546875" style="76" customWidth="1"/>
    <col min="8904" max="8905" width="14.7109375" style="76" customWidth="1"/>
    <col min="8906" max="8906" width="12.85546875" style="76" customWidth="1"/>
    <col min="8907" max="8907" width="13.5703125" style="76" customWidth="1"/>
    <col min="8908" max="8908" width="12.7109375" style="76" customWidth="1"/>
    <col min="8909" max="8909" width="13.42578125" style="76" customWidth="1"/>
    <col min="8910" max="8910" width="13.140625" style="76" customWidth="1"/>
    <col min="8911" max="8911" width="14.7109375" style="76" customWidth="1"/>
    <col min="8912" max="8912" width="14.5703125" style="76" customWidth="1"/>
    <col min="8913" max="8913" width="13" style="76" customWidth="1"/>
    <col min="8914" max="8914" width="15" style="76" customWidth="1"/>
    <col min="8915" max="8916" width="12.140625" style="76" customWidth="1"/>
    <col min="8917" max="8917" width="12" style="76" customWidth="1"/>
    <col min="8918" max="8918" width="13.5703125" style="76" customWidth="1"/>
    <col min="8919" max="8919" width="14" style="76" customWidth="1"/>
    <col min="8920" max="8920" width="12.28515625" style="76" customWidth="1"/>
    <col min="8921" max="8921" width="14.140625" style="76" customWidth="1"/>
    <col min="8922" max="8922" width="13" style="76" customWidth="1"/>
    <col min="8923" max="8923" width="13.5703125" style="76" customWidth="1"/>
    <col min="8924" max="8924" width="12.42578125" style="76" customWidth="1"/>
    <col min="8925" max="8925" width="12.5703125" style="76" customWidth="1"/>
    <col min="8926" max="8926" width="11.7109375" style="76" customWidth="1"/>
    <col min="8927" max="8927" width="13.7109375" style="76" customWidth="1"/>
    <col min="8928" max="8928" width="13.28515625" style="76" customWidth="1"/>
    <col min="8929" max="8929" width="13.140625" style="76" customWidth="1"/>
    <col min="8930" max="8930" width="12" style="76" customWidth="1"/>
    <col min="8931" max="8931" width="12.140625" style="76" customWidth="1"/>
    <col min="8932" max="8932" width="12.28515625" style="76" customWidth="1"/>
    <col min="8933" max="8933" width="12.140625" style="76" customWidth="1"/>
    <col min="8934" max="8934" width="12.5703125" style="76" customWidth="1"/>
    <col min="8935" max="9151" width="9.140625" style="76"/>
    <col min="9152" max="9152" width="25.42578125" style="76" customWidth="1"/>
    <col min="9153" max="9153" width="56.28515625" style="76" customWidth="1"/>
    <col min="9154" max="9154" width="14" style="76" customWidth="1"/>
    <col min="9155" max="9156" width="14.5703125" style="76" customWidth="1"/>
    <col min="9157" max="9157" width="14.140625" style="76" customWidth="1"/>
    <col min="9158" max="9158" width="15.140625" style="76" customWidth="1"/>
    <col min="9159" max="9159" width="13.85546875" style="76" customWidth="1"/>
    <col min="9160" max="9161" width="14.7109375" style="76" customWidth="1"/>
    <col min="9162" max="9162" width="12.85546875" style="76" customWidth="1"/>
    <col min="9163" max="9163" width="13.5703125" style="76" customWidth="1"/>
    <col min="9164" max="9164" width="12.7109375" style="76" customWidth="1"/>
    <col min="9165" max="9165" width="13.42578125" style="76" customWidth="1"/>
    <col min="9166" max="9166" width="13.140625" style="76" customWidth="1"/>
    <col min="9167" max="9167" width="14.7109375" style="76" customWidth="1"/>
    <col min="9168" max="9168" width="14.5703125" style="76" customWidth="1"/>
    <col min="9169" max="9169" width="13" style="76" customWidth="1"/>
    <col min="9170" max="9170" width="15" style="76" customWidth="1"/>
    <col min="9171" max="9172" width="12.140625" style="76" customWidth="1"/>
    <col min="9173" max="9173" width="12" style="76" customWidth="1"/>
    <col min="9174" max="9174" width="13.5703125" style="76" customWidth="1"/>
    <col min="9175" max="9175" width="14" style="76" customWidth="1"/>
    <col min="9176" max="9176" width="12.28515625" style="76" customWidth="1"/>
    <col min="9177" max="9177" width="14.140625" style="76" customWidth="1"/>
    <col min="9178" max="9178" width="13" style="76" customWidth="1"/>
    <col min="9179" max="9179" width="13.5703125" style="76" customWidth="1"/>
    <col min="9180" max="9180" width="12.42578125" style="76" customWidth="1"/>
    <col min="9181" max="9181" width="12.5703125" style="76" customWidth="1"/>
    <col min="9182" max="9182" width="11.7109375" style="76" customWidth="1"/>
    <col min="9183" max="9183" width="13.7109375" style="76" customWidth="1"/>
    <col min="9184" max="9184" width="13.28515625" style="76" customWidth="1"/>
    <col min="9185" max="9185" width="13.140625" style="76" customWidth="1"/>
    <col min="9186" max="9186" width="12" style="76" customWidth="1"/>
    <col min="9187" max="9187" width="12.140625" style="76" customWidth="1"/>
    <col min="9188" max="9188" width="12.28515625" style="76" customWidth="1"/>
    <col min="9189" max="9189" width="12.140625" style="76" customWidth="1"/>
    <col min="9190" max="9190" width="12.5703125" style="76" customWidth="1"/>
    <col min="9191" max="9407" width="9.140625" style="76"/>
    <col min="9408" max="9408" width="25.42578125" style="76" customWidth="1"/>
    <col min="9409" max="9409" width="56.28515625" style="76" customWidth="1"/>
    <col min="9410" max="9410" width="14" style="76" customWidth="1"/>
    <col min="9411" max="9412" width="14.5703125" style="76" customWidth="1"/>
    <col min="9413" max="9413" width="14.140625" style="76" customWidth="1"/>
    <col min="9414" max="9414" width="15.140625" style="76" customWidth="1"/>
    <col min="9415" max="9415" width="13.85546875" style="76" customWidth="1"/>
    <col min="9416" max="9417" width="14.7109375" style="76" customWidth="1"/>
    <col min="9418" max="9418" width="12.85546875" style="76" customWidth="1"/>
    <col min="9419" max="9419" width="13.5703125" style="76" customWidth="1"/>
    <col min="9420" max="9420" width="12.7109375" style="76" customWidth="1"/>
    <col min="9421" max="9421" width="13.42578125" style="76" customWidth="1"/>
    <col min="9422" max="9422" width="13.140625" style="76" customWidth="1"/>
    <col min="9423" max="9423" width="14.7109375" style="76" customWidth="1"/>
    <col min="9424" max="9424" width="14.5703125" style="76" customWidth="1"/>
    <col min="9425" max="9425" width="13" style="76" customWidth="1"/>
    <col min="9426" max="9426" width="15" style="76" customWidth="1"/>
    <col min="9427" max="9428" width="12.140625" style="76" customWidth="1"/>
    <col min="9429" max="9429" width="12" style="76" customWidth="1"/>
    <col min="9430" max="9430" width="13.5703125" style="76" customWidth="1"/>
    <col min="9431" max="9431" width="14" style="76" customWidth="1"/>
    <col min="9432" max="9432" width="12.28515625" style="76" customWidth="1"/>
    <col min="9433" max="9433" width="14.140625" style="76" customWidth="1"/>
    <col min="9434" max="9434" width="13" style="76" customWidth="1"/>
    <col min="9435" max="9435" width="13.5703125" style="76" customWidth="1"/>
    <col min="9436" max="9436" width="12.42578125" style="76" customWidth="1"/>
    <col min="9437" max="9437" width="12.5703125" style="76" customWidth="1"/>
    <col min="9438" max="9438" width="11.7109375" style="76" customWidth="1"/>
    <col min="9439" max="9439" width="13.7109375" style="76" customWidth="1"/>
    <col min="9440" max="9440" width="13.28515625" style="76" customWidth="1"/>
    <col min="9441" max="9441" width="13.140625" style="76" customWidth="1"/>
    <col min="9442" max="9442" width="12" style="76" customWidth="1"/>
    <col min="9443" max="9443" width="12.140625" style="76" customWidth="1"/>
    <col min="9444" max="9444" width="12.28515625" style="76" customWidth="1"/>
    <col min="9445" max="9445" width="12.140625" style="76" customWidth="1"/>
    <col min="9446" max="9446" width="12.5703125" style="76" customWidth="1"/>
    <col min="9447" max="9663" width="9.140625" style="76"/>
    <col min="9664" max="9664" width="25.42578125" style="76" customWidth="1"/>
    <col min="9665" max="9665" width="56.28515625" style="76" customWidth="1"/>
    <col min="9666" max="9666" width="14" style="76" customWidth="1"/>
    <col min="9667" max="9668" width="14.5703125" style="76" customWidth="1"/>
    <col min="9669" max="9669" width="14.140625" style="76" customWidth="1"/>
    <col min="9670" max="9670" width="15.140625" style="76" customWidth="1"/>
    <col min="9671" max="9671" width="13.85546875" style="76" customWidth="1"/>
    <col min="9672" max="9673" width="14.7109375" style="76" customWidth="1"/>
    <col min="9674" max="9674" width="12.85546875" style="76" customWidth="1"/>
    <col min="9675" max="9675" width="13.5703125" style="76" customWidth="1"/>
    <col min="9676" max="9676" width="12.7109375" style="76" customWidth="1"/>
    <col min="9677" max="9677" width="13.42578125" style="76" customWidth="1"/>
    <col min="9678" max="9678" width="13.140625" style="76" customWidth="1"/>
    <col min="9679" max="9679" width="14.7109375" style="76" customWidth="1"/>
    <col min="9680" max="9680" width="14.5703125" style="76" customWidth="1"/>
    <col min="9681" max="9681" width="13" style="76" customWidth="1"/>
    <col min="9682" max="9682" width="15" style="76" customWidth="1"/>
    <col min="9683" max="9684" width="12.140625" style="76" customWidth="1"/>
    <col min="9685" max="9685" width="12" style="76" customWidth="1"/>
    <col min="9686" max="9686" width="13.5703125" style="76" customWidth="1"/>
    <col min="9687" max="9687" width="14" style="76" customWidth="1"/>
    <col min="9688" max="9688" width="12.28515625" style="76" customWidth="1"/>
    <col min="9689" max="9689" width="14.140625" style="76" customWidth="1"/>
    <col min="9690" max="9690" width="13" style="76" customWidth="1"/>
    <col min="9691" max="9691" width="13.5703125" style="76" customWidth="1"/>
    <col min="9692" max="9692" width="12.42578125" style="76" customWidth="1"/>
    <col min="9693" max="9693" width="12.5703125" style="76" customWidth="1"/>
    <col min="9694" max="9694" width="11.7109375" style="76" customWidth="1"/>
    <col min="9695" max="9695" width="13.7109375" style="76" customWidth="1"/>
    <col min="9696" max="9696" width="13.28515625" style="76" customWidth="1"/>
    <col min="9697" max="9697" width="13.140625" style="76" customWidth="1"/>
    <col min="9698" max="9698" width="12" style="76" customWidth="1"/>
    <col min="9699" max="9699" width="12.140625" style="76" customWidth="1"/>
    <col min="9700" max="9700" width="12.28515625" style="76" customWidth="1"/>
    <col min="9701" max="9701" width="12.140625" style="76" customWidth="1"/>
    <col min="9702" max="9702" width="12.5703125" style="76" customWidth="1"/>
    <col min="9703" max="9919" width="9.140625" style="76"/>
    <col min="9920" max="9920" width="25.42578125" style="76" customWidth="1"/>
    <col min="9921" max="9921" width="56.28515625" style="76" customWidth="1"/>
    <col min="9922" max="9922" width="14" style="76" customWidth="1"/>
    <col min="9923" max="9924" width="14.5703125" style="76" customWidth="1"/>
    <col min="9925" max="9925" width="14.140625" style="76" customWidth="1"/>
    <col min="9926" max="9926" width="15.140625" style="76" customWidth="1"/>
    <col min="9927" max="9927" width="13.85546875" style="76" customWidth="1"/>
    <col min="9928" max="9929" width="14.7109375" style="76" customWidth="1"/>
    <col min="9930" max="9930" width="12.85546875" style="76" customWidth="1"/>
    <col min="9931" max="9931" width="13.5703125" style="76" customWidth="1"/>
    <col min="9932" max="9932" width="12.7109375" style="76" customWidth="1"/>
    <col min="9933" max="9933" width="13.42578125" style="76" customWidth="1"/>
    <col min="9934" max="9934" width="13.140625" style="76" customWidth="1"/>
    <col min="9935" max="9935" width="14.7109375" style="76" customWidth="1"/>
    <col min="9936" max="9936" width="14.5703125" style="76" customWidth="1"/>
    <col min="9937" max="9937" width="13" style="76" customWidth="1"/>
    <col min="9938" max="9938" width="15" style="76" customWidth="1"/>
    <col min="9939" max="9940" width="12.140625" style="76" customWidth="1"/>
    <col min="9941" max="9941" width="12" style="76" customWidth="1"/>
    <col min="9942" max="9942" width="13.5703125" style="76" customWidth="1"/>
    <col min="9943" max="9943" width="14" style="76" customWidth="1"/>
    <col min="9944" max="9944" width="12.28515625" style="76" customWidth="1"/>
    <col min="9945" max="9945" width="14.140625" style="76" customWidth="1"/>
    <col min="9946" max="9946" width="13" style="76" customWidth="1"/>
    <col min="9947" max="9947" width="13.5703125" style="76" customWidth="1"/>
    <col min="9948" max="9948" width="12.42578125" style="76" customWidth="1"/>
    <col min="9949" max="9949" width="12.5703125" style="76" customWidth="1"/>
    <col min="9950" max="9950" width="11.7109375" style="76" customWidth="1"/>
    <col min="9951" max="9951" width="13.7109375" style="76" customWidth="1"/>
    <col min="9952" max="9952" width="13.28515625" style="76" customWidth="1"/>
    <col min="9953" max="9953" width="13.140625" style="76" customWidth="1"/>
    <col min="9954" max="9954" width="12" style="76" customWidth="1"/>
    <col min="9955" max="9955" width="12.140625" style="76" customWidth="1"/>
    <col min="9956" max="9956" width="12.28515625" style="76" customWidth="1"/>
    <col min="9957" max="9957" width="12.140625" style="76" customWidth="1"/>
    <col min="9958" max="9958" width="12.5703125" style="76" customWidth="1"/>
    <col min="9959" max="10175" width="9.140625" style="76"/>
    <col min="10176" max="10176" width="25.42578125" style="76" customWidth="1"/>
    <col min="10177" max="10177" width="56.28515625" style="76" customWidth="1"/>
    <col min="10178" max="10178" width="14" style="76" customWidth="1"/>
    <col min="10179" max="10180" width="14.5703125" style="76" customWidth="1"/>
    <col min="10181" max="10181" width="14.140625" style="76" customWidth="1"/>
    <col min="10182" max="10182" width="15.140625" style="76" customWidth="1"/>
    <col min="10183" max="10183" width="13.85546875" style="76" customWidth="1"/>
    <col min="10184" max="10185" width="14.7109375" style="76" customWidth="1"/>
    <col min="10186" max="10186" width="12.85546875" style="76" customWidth="1"/>
    <col min="10187" max="10187" width="13.5703125" style="76" customWidth="1"/>
    <col min="10188" max="10188" width="12.7109375" style="76" customWidth="1"/>
    <col min="10189" max="10189" width="13.42578125" style="76" customWidth="1"/>
    <col min="10190" max="10190" width="13.140625" style="76" customWidth="1"/>
    <col min="10191" max="10191" width="14.7109375" style="76" customWidth="1"/>
    <col min="10192" max="10192" width="14.5703125" style="76" customWidth="1"/>
    <col min="10193" max="10193" width="13" style="76" customWidth="1"/>
    <col min="10194" max="10194" width="15" style="76" customWidth="1"/>
    <col min="10195" max="10196" width="12.140625" style="76" customWidth="1"/>
    <col min="10197" max="10197" width="12" style="76" customWidth="1"/>
    <col min="10198" max="10198" width="13.5703125" style="76" customWidth="1"/>
    <col min="10199" max="10199" width="14" style="76" customWidth="1"/>
    <col min="10200" max="10200" width="12.28515625" style="76" customWidth="1"/>
    <col min="10201" max="10201" width="14.140625" style="76" customWidth="1"/>
    <col min="10202" max="10202" width="13" style="76" customWidth="1"/>
    <col min="10203" max="10203" width="13.5703125" style="76" customWidth="1"/>
    <col min="10204" max="10204" width="12.42578125" style="76" customWidth="1"/>
    <col min="10205" max="10205" width="12.5703125" style="76" customWidth="1"/>
    <col min="10206" max="10206" width="11.7109375" style="76" customWidth="1"/>
    <col min="10207" max="10207" width="13.7109375" style="76" customWidth="1"/>
    <col min="10208" max="10208" width="13.28515625" style="76" customWidth="1"/>
    <col min="10209" max="10209" width="13.140625" style="76" customWidth="1"/>
    <col min="10210" max="10210" width="12" style="76" customWidth="1"/>
    <col min="10211" max="10211" width="12.140625" style="76" customWidth="1"/>
    <col min="10212" max="10212" width="12.28515625" style="76" customWidth="1"/>
    <col min="10213" max="10213" width="12.140625" style="76" customWidth="1"/>
    <col min="10214" max="10214" width="12.5703125" style="76" customWidth="1"/>
    <col min="10215" max="10431" width="9.140625" style="76"/>
    <col min="10432" max="10432" width="25.42578125" style="76" customWidth="1"/>
    <col min="10433" max="10433" width="56.28515625" style="76" customWidth="1"/>
    <col min="10434" max="10434" width="14" style="76" customWidth="1"/>
    <col min="10435" max="10436" width="14.5703125" style="76" customWidth="1"/>
    <col min="10437" max="10437" width="14.140625" style="76" customWidth="1"/>
    <col min="10438" max="10438" width="15.140625" style="76" customWidth="1"/>
    <col min="10439" max="10439" width="13.85546875" style="76" customWidth="1"/>
    <col min="10440" max="10441" width="14.7109375" style="76" customWidth="1"/>
    <col min="10442" max="10442" width="12.85546875" style="76" customWidth="1"/>
    <col min="10443" max="10443" width="13.5703125" style="76" customWidth="1"/>
    <col min="10444" max="10444" width="12.7109375" style="76" customWidth="1"/>
    <col min="10445" max="10445" width="13.42578125" style="76" customWidth="1"/>
    <col min="10446" max="10446" width="13.140625" style="76" customWidth="1"/>
    <col min="10447" max="10447" width="14.7109375" style="76" customWidth="1"/>
    <col min="10448" max="10448" width="14.5703125" style="76" customWidth="1"/>
    <col min="10449" max="10449" width="13" style="76" customWidth="1"/>
    <col min="10450" max="10450" width="15" style="76" customWidth="1"/>
    <col min="10451" max="10452" width="12.140625" style="76" customWidth="1"/>
    <col min="10453" max="10453" width="12" style="76" customWidth="1"/>
    <col min="10454" max="10454" width="13.5703125" style="76" customWidth="1"/>
    <col min="10455" max="10455" width="14" style="76" customWidth="1"/>
    <col min="10456" max="10456" width="12.28515625" style="76" customWidth="1"/>
    <col min="10457" max="10457" width="14.140625" style="76" customWidth="1"/>
    <col min="10458" max="10458" width="13" style="76" customWidth="1"/>
    <col min="10459" max="10459" width="13.5703125" style="76" customWidth="1"/>
    <col min="10460" max="10460" width="12.42578125" style="76" customWidth="1"/>
    <col min="10461" max="10461" width="12.5703125" style="76" customWidth="1"/>
    <col min="10462" max="10462" width="11.7109375" style="76" customWidth="1"/>
    <col min="10463" max="10463" width="13.7109375" style="76" customWidth="1"/>
    <col min="10464" max="10464" width="13.28515625" style="76" customWidth="1"/>
    <col min="10465" max="10465" width="13.140625" style="76" customWidth="1"/>
    <col min="10466" max="10466" width="12" style="76" customWidth="1"/>
    <col min="10467" max="10467" width="12.140625" style="76" customWidth="1"/>
    <col min="10468" max="10468" width="12.28515625" style="76" customWidth="1"/>
    <col min="10469" max="10469" width="12.140625" style="76" customWidth="1"/>
    <col min="10470" max="10470" width="12.5703125" style="76" customWidth="1"/>
    <col min="10471" max="10687" width="9.140625" style="76"/>
    <col min="10688" max="10688" width="25.42578125" style="76" customWidth="1"/>
    <col min="10689" max="10689" width="56.28515625" style="76" customWidth="1"/>
    <col min="10690" max="10690" width="14" style="76" customWidth="1"/>
    <col min="10691" max="10692" width="14.5703125" style="76" customWidth="1"/>
    <col min="10693" max="10693" width="14.140625" style="76" customWidth="1"/>
    <col min="10694" max="10694" width="15.140625" style="76" customWidth="1"/>
    <col min="10695" max="10695" width="13.85546875" style="76" customWidth="1"/>
    <col min="10696" max="10697" width="14.7109375" style="76" customWidth="1"/>
    <col min="10698" max="10698" width="12.85546875" style="76" customWidth="1"/>
    <col min="10699" max="10699" width="13.5703125" style="76" customWidth="1"/>
    <col min="10700" max="10700" width="12.7109375" style="76" customWidth="1"/>
    <col min="10701" max="10701" width="13.42578125" style="76" customWidth="1"/>
    <col min="10702" max="10702" width="13.140625" style="76" customWidth="1"/>
    <col min="10703" max="10703" width="14.7109375" style="76" customWidth="1"/>
    <col min="10704" max="10704" width="14.5703125" style="76" customWidth="1"/>
    <col min="10705" max="10705" width="13" style="76" customWidth="1"/>
    <col min="10706" max="10706" width="15" style="76" customWidth="1"/>
    <col min="10707" max="10708" width="12.140625" style="76" customWidth="1"/>
    <col min="10709" max="10709" width="12" style="76" customWidth="1"/>
    <col min="10710" max="10710" width="13.5703125" style="76" customWidth="1"/>
    <col min="10711" max="10711" width="14" style="76" customWidth="1"/>
    <col min="10712" max="10712" width="12.28515625" style="76" customWidth="1"/>
    <col min="10713" max="10713" width="14.140625" style="76" customWidth="1"/>
    <col min="10714" max="10714" width="13" style="76" customWidth="1"/>
    <col min="10715" max="10715" width="13.5703125" style="76" customWidth="1"/>
    <col min="10716" max="10716" width="12.42578125" style="76" customWidth="1"/>
    <col min="10717" max="10717" width="12.5703125" style="76" customWidth="1"/>
    <col min="10718" max="10718" width="11.7109375" style="76" customWidth="1"/>
    <col min="10719" max="10719" width="13.7109375" style="76" customWidth="1"/>
    <col min="10720" max="10720" width="13.28515625" style="76" customWidth="1"/>
    <col min="10721" max="10721" width="13.140625" style="76" customWidth="1"/>
    <col min="10722" max="10722" width="12" style="76" customWidth="1"/>
    <col min="10723" max="10723" width="12.140625" style="76" customWidth="1"/>
    <col min="10724" max="10724" width="12.28515625" style="76" customWidth="1"/>
    <col min="10725" max="10725" width="12.140625" style="76" customWidth="1"/>
    <col min="10726" max="10726" width="12.5703125" style="76" customWidth="1"/>
    <col min="10727" max="10943" width="9.140625" style="76"/>
    <col min="10944" max="10944" width="25.42578125" style="76" customWidth="1"/>
    <col min="10945" max="10945" width="56.28515625" style="76" customWidth="1"/>
    <col min="10946" max="10946" width="14" style="76" customWidth="1"/>
    <col min="10947" max="10948" width="14.5703125" style="76" customWidth="1"/>
    <col min="10949" max="10949" width="14.140625" style="76" customWidth="1"/>
    <col min="10950" max="10950" width="15.140625" style="76" customWidth="1"/>
    <col min="10951" max="10951" width="13.85546875" style="76" customWidth="1"/>
    <col min="10952" max="10953" width="14.7109375" style="76" customWidth="1"/>
    <col min="10954" max="10954" width="12.85546875" style="76" customWidth="1"/>
    <col min="10955" max="10955" width="13.5703125" style="76" customWidth="1"/>
    <col min="10956" max="10956" width="12.7109375" style="76" customWidth="1"/>
    <col min="10957" max="10957" width="13.42578125" style="76" customWidth="1"/>
    <col min="10958" max="10958" width="13.140625" style="76" customWidth="1"/>
    <col min="10959" max="10959" width="14.7109375" style="76" customWidth="1"/>
    <col min="10960" max="10960" width="14.5703125" style="76" customWidth="1"/>
    <col min="10961" max="10961" width="13" style="76" customWidth="1"/>
    <col min="10962" max="10962" width="15" style="76" customWidth="1"/>
    <col min="10963" max="10964" width="12.140625" style="76" customWidth="1"/>
    <col min="10965" max="10965" width="12" style="76" customWidth="1"/>
    <col min="10966" max="10966" width="13.5703125" style="76" customWidth="1"/>
    <col min="10967" max="10967" width="14" style="76" customWidth="1"/>
    <col min="10968" max="10968" width="12.28515625" style="76" customWidth="1"/>
    <col min="10969" max="10969" width="14.140625" style="76" customWidth="1"/>
    <col min="10970" max="10970" width="13" style="76" customWidth="1"/>
    <col min="10971" max="10971" width="13.5703125" style="76" customWidth="1"/>
    <col min="10972" max="10972" width="12.42578125" style="76" customWidth="1"/>
    <col min="10973" max="10973" width="12.5703125" style="76" customWidth="1"/>
    <col min="10974" max="10974" width="11.7109375" style="76" customWidth="1"/>
    <col min="10975" max="10975" width="13.7109375" style="76" customWidth="1"/>
    <col min="10976" max="10976" width="13.28515625" style="76" customWidth="1"/>
    <col min="10977" max="10977" width="13.140625" style="76" customWidth="1"/>
    <col min="10978" max="10978" width="12" style="76" customWidth="1"/>
    <col min="10979" max="10979" width="12.140625" style="76" customWidth="1"/>
    <col min="10980" max="10980" width="12.28515625" style="76" customWidth="1"/>
    <col min="10981" max="10981" width="12.140625" style="76" customWidth="1"/>
    <col min="10982" max="10982" width="12.5703125" style="76" customWidth="1"/>
    <col min="10983" max="11199" width="9.140625" style="76"/>
    <col min="11200" max="11200" width="25.42578125" style="76" customWidth="1"/>
    <col min="11201" max="11201" width="56.28515625" style="76" customWidth="1"/>
    <col min="11202" max="11202" width="14" style="76" customWidth="1"/>
    <col min="11203" max="11204" width="14.5703125" style="76" customWidth="1"/>
    <col min="11205" max="11205" width="14.140625" style="76" customWidth="1"/>
    <col min="11206" max="11206" width="15.140625" style="76" customWidth="1"/>
    <col min="11207" max="11207" width="13.85546875" style="76" customWidth="1"/>
    <col min="11208" max="11209" width="14.7109375" style="76" customWidth="1"/>
    <col min="11210" max="11210" width="12.85546875" style="76" customWidth="1"/>
    <col min="11211" max="11211" width="13.5703125" style="76" customWidth="1"/>
    <col min="11212" max="11212" width="12.7109375" style="76" customWidth="1"/>
    <col min="11213" max="11213" width="13.42578125" style="76" customWidth="1"/>
    <col min="11214" max="11214" width="13.140625" style="76" customWidth="1"/>
    <col min="11215" max="11215" width="14.7109375" style="76" customWidth="1"/>
    <col min="11216" max="11216" width="14.5703125" style="76" customWidth="1"/>
    <col min="11217" max="11217" width="13" style="76" customWidth="1"/>
    <col min="11218" max="11218" width="15" style="76" customWidth="1"/>
    <col min="11219" max="11220" width="12.140625" style="76" customWidth="1"/>
    <col min="11221" max="11221" width="12" style="76" customWidth="1"/>
    <col min="11222" max="11222" width="13.5703125" style="76" customWidth="1"/>
    <col min="11223" max="11223" width="14" style="76" customWidth="1"/>
    <col min="11224" max="11224" width="12.28515625" style="76" customWidth="1"/>
    <col min="11225" max="11225" width="14.140625" style="76" customWidth="1"/>
    <col min="11226" max="11226" width="13" style="76" customWidth="1"/>
    <col min="11227" max="11227" width="13.5703125" style="76" customWidth="1"/>
    <col min="11228" max="11228" width="12.42578125" style="76" customWidth="1"/>
    <col min="11229" max="11229" width="12.5703125" style="76" customWidth="1"/>
    <col min="11230" max="11230" width="11.7109375" style="76" customWidth="1"/>
    <col min="11231" max="11231" width="13.7109375" style="76" customWidth="1"/>
    <col min="11232" max="11232" width="13.28515625" style="76" customWidth="1"/>
    <col min="11233" max="11233" width="13.140625" style="76" customWidth="1"/>
    <col min="11234" max="11234" width="12" style="76" customWidth="1"/>
    <col min="11235" max="11235" width="12.140625" style="76" customWidth="1"/>
    <col min="11236" max="11236" width="12.28515625" style="76" customWidth="1"/>
    <col min="11237" max="11237" width="12.140625" style="76" customWidth="1"/>
    <col min="11238" max="11238" width="12.5703125" style="76" customWidth="1"/>
    <col min="11239" max="11455" width="9.140625" style="76"/>
    <col min="11456" max="11456" width="25.42578125" style="76" customWidth="1"/>
    <col min="11457" max="11457" width="56.28515625" style="76" customWidth="1"/>
    <col min="11458" max="11458" width="14" style="76" customWidth="1"/>
    <col min="11459" max="11460" width="14.5703125" style="76" customWidth="1"/>
    <col min="11461" max="11461" width="14.140625" style="76" customWidth="1"/>
    <col min="11462" max="11462" width="15.140625" style="76" customWidth="1"/>
    <col min="11463" max="11463" width="13.85546875" style="76" customWidth="1"/>
    <col min="11464" max="11465" width="14.7109375" style="76" customWidth="1"/>
    <col min="11466" max="11466" width="12.85546875" style="76" customWidth="1"/>
    <col min="11467" max="11467" width="13.5703125" style="76" customWidth="1"/>
    <col min="11468" max="11468" width="12.7109375" style="76" customWidth="1"/>
    <col min="11469" max="11469" width="13.42578125" style="76" customWidth="1"/>
    <col min="11470" max="11470" width="13.140625" style="76" customWidth="1"/>
    <col min="11471" max="11471" width="14.7109375" style="76" customWidth="1"/>
    <col min="11472" max="11472" width="14.5703125" style="76" customWidth="1"/>
    <col min="11473" max="11473" width="13" style="76" customWidth="1"/>
    <col min="11474" max="11474" width="15" style="76" customWidth="1"/>
    <col min="11475" max="11476" width="12.140625" style="76" customWidth="1"/>
    <col min="11477" max="11477" width="12" style="76" customWidth="1"/>
    <col min="11478" max="11478" width="13.5703125" style="76" customWidth="1"/>
    <col min="11479" max="11479" width="14" style="76" customWidth="1"/>
    <col min="11480" max="11480" width="12.28515625" style="76" customWidth="1"/>
    <col min="11481" max="11481" width="14.140625" style="76" customWidth="1"/>
    <col min="11482" max="11482" width="13" style="76" customWidth="1"/>
    <col min="11483" max="11483" width="13.5703125" style="76" customWidth="1"/>
    <col min="11484" max="11484" width="12.42578125" style="76" customWidth="1"/>
    <col min="11485" max="11485" width="12.5703125" style="76" customWidth="1"/>
    <col min="11486" max="11486" width="11.7109375" style="76" customWidth="1"/>
    <col min="11487" max="11487" width="13.7109375" style="76" customWidth="1"/>
    <col min="11488" max="11488" width="13.28515625" style="76" customWidth="1"/>
    <col min="11489" max="11489" width="13.140625" style="76" customWidth="1"/>
    <col min="11490" max="11490" width="12" style="76" customWidth="1"/>
    <col min="11491" max="11491" width="12.140625" style="76" customWidth="1"/>
    <col min="11492" max="11492" width="12.28515625" style="76" customWidth="1"/>
    <col min="11493" max="11493" width="12.140625" style="76" customWidth="1"/>
    <col min="11494" max="11494" width="12.5703125" style="76" customWidth="1"/>
    <col min="11495" max="11711" width="9.140625" style="76"/>
    <col min="11712" max="11712" width="25.42578125" style="76" customWidth="1"/>
    <col min="11713" max="11713" width="56.28515625" style="76" customWidth="1"/>
    <col min="11714" max="11714" width="14" style="76" customWidth="1"/>
    <col min="11715" max="11716" width="14.5703125" style="76" customWidth="1"/>
    <col min="11717" max="11717" width="14.140625" style="76" customWidth="1"/>
    <col min="11718" max="11718" width="15.140625" style="76" customWidth="1"/>
    <col min="11719" max="11719" width="13.85546875" style="76" customWidth="1"/>
    <col min="11720" max="11721" width="14.7109375" style="76" customWidth="1"/>
    <col min="11722" max="11722" width="12.85546875" style="76" customWidth="1"/>
    <col min="11723" max="11723" width="13.5703125" style="76" customWidth="1"/>
    <col min="11724" max="11724" width="12.7109375" style="76" customWidth="1"/>
    <col min="11725" max="11725" width="13.42578125" style="76" customWidth="1"/>
    <col min="11726" max="11726" width="13.140625" style="76" customWidth="1"/>
    <col min="11727" max="11727" width="14.7109375" style="76" customWidth="1"/>
    <col min="11728" max="11728" width="14.5703125" style="76" customWidth="1"/>
    <col min="11729" max="11729" width="13" style="76" customWidth="1"/>
    <col min="11730" max="11730" width="15" style="76" customWidth="1"/>
    <col min="11731" max="11732" width="12.140625" style="76" customWidth="1"/>
    <col min="11733" max="11733" width="12" style="76" customWidth="1"/>
    <col min="11734" max="11734" width="13.5703125" style="76" customWidth="1"/>
    <col min="11735" max="11735" width="14" style="76" customWidth="1"/>
    <col min="11736" max="11736" width="12.28515625" style="76" customWidth="1"/>
    <col min="11737" max="11737" width="14.140625" style="76" customWidth="1"/>
    <col min="11738" max="11738" width="13" style="76" customWidth="1"/>
    <col min="11739" max="11739" width="13.5703125" style="76" customWidth="1"/>
    <col min="11740" max="11740" width="12.42578125" style="76" customWidth="1"/>
    <col min="11741" max="11741" width="12.5703125" style="76" customWidth="1"/>
    <col min="11742" max="11742" width="11.7109375" style="76" customWidth="1"/>
    <col min="11743" max="11743" width="13.7109375" style="76" customWidth="1"/>
    <col min="11744" max="11744" width="13.28515625" style="76" customWidth="1"/>
    <col min="11745" max="11745" width="13.140625" style="76" customWidth="1"/>
    <col min="11746" max="11746" width="12" style="76" customWidth="1"/>
    <col min="11747" max="11747" width="12.140625" style="76" customWidth="1"/>
    <col min="11748" max="11748" width="12.28515625" style="76" customWidth="1"/>
    <col min="11749" max="11749" width="12.140625" style="76" customWidth="1"/>
    <col min="11750" max="11750" width="12.5703125" style="76" customWidth="1"/>
    <col min="11751" max="11967" width="9.140625" style="76"/>
    <col min="11968" max="11968" width="25.42578125" style="76" customWidth="1"/>
    <col min="11969" max="11969" width="56.28515625" style="76" customWidth="1"/>
    <col min="11970" max="11970" width="14" style="76" customWidth="1"/>
    <col min="11971" max="11972" width="14.5703125" style="76" customWidth="1"/>
    <col min="11973" max="11973" width="14.140625" style="76" customWidth="1"/>
    <col min="11974" max="11974" width="15.140625" style="76" customWidth="1"/>
    <col min="11975" max="11975" width="13.85546875" style="76" customWidth="1"/>
    <col min="11976" max="11977" width="14.7109375" style="76" customWidth="1"/>
    <col min="11978" max="11978" width="12.85546875" style="76" customWidth="1"/>
    <col min="11979" max="11979" width="13.5703125" style="76" customWidth="1"/>
    <col min="11980" max="11980" width="12.7109375" style="76" customWidth="1"/>
    <col min="11981" max="11981" width="13.42578125" style="76" customWidth="1"/>
    <col min="11982" max="11982" width="13.140625" style="76" customWidth="1"/>
    <col min="11983" max="11983" width="14.7109375" style="76" customWidth="1"/>
    <col min="11984" max="11984" width="14.5703125" style="76" customWidth="1"/>
    <col min="11985" max="11985" width="13" style="76" customWidth="1"/>
    <col min="11986" max="11986" width="15" style="76" customWidth="1"/>
    <col min="11987" max="11988" width="12.140625" style="76" customWidth="1"/>
    <col min="11989" max="11989" width="12" style="76" customWidth="1"/>
    <col min="11990" max="11990" width="13.5703125" style="76" customWidth="1"/>
    <col min="11991" max="11991" width="14" style="76" customWidth="1"/>
    <col min="11992" max="11992" width="12.28515625" style="76" customWidth="1"/>
    <col min="11993" max="11993" width="14.140625" style="76" customWidth="1"/>
    <col min="11994" max="11994" width="13" style="76" customWidth="1"/>
    <col min="11995" max="11995" width="13.5703125" style="76" customWidth="1"/>
    <col min="11996" max="11996" width="12.42578125" style="76" customWidth="1"/>
    <col min="11997" max="11997" width="12.5703125" style="76" customWidth="1"/>
    <col min="11998" max="11998" width="11.7109375" style="76" customWidth="1"/>
    <col min="11999" max="11999" width="13.7109375" style="76" customWidth="1"/>
    <col min="12000" max="12000" width="13.28515625" style="76" customWidth="1"/>
    <col min="12001" max="12001" width="13.140625" style="76" customWidth="1"/>
    <col min="12002" max="12002" width="12" style="76" customWidth="1"/>
    <col min="12003" max="12003" width="12.140625" style="76" customWidth="1"/>
    <col min="12004" max="12004" width="12.28515625" style="76" customWidth="1"/>
    <col min="12005" max="12005" width="12.140625" style="76" customWidth="1"/>
    <col min="12006" max="12006" width="12.5703125" style="76" customWidth="1"/>
    <col min="12007" max="12223" width="9.140625" style="76"/>
    <col min="12224" max="12224" width="25.42578125" style="76" customWidth="1"/>
    <col min="12225" max="12225" width="56.28515625" style="76" customWidth="1"/>
    <col min="12226" max="12226" width="14" style="76" customWidth="1"/>
    <col min="12227" max="12228" width="14.5703125" style="76" customWidth="1"/>
    <col min="12229" max="12229" width="14.140625" style="76" customWidth="1"/>
    <col min="12230" max="12230" width="15.140625" style="76" customWidth="1"/>
    <col min="12231" max="12231" width="13.85546875" style="76" customWidth="1"/>
    <col min="12232" max="12233" width="14.7109375" style="76" customWidth="1"/>
    <col min="12234" max="12234" width="12.85546875" style="76" customWidth="1"/>
    <col min="12235" max="12235" width="13.5703125" style="76" customWidth="1"/>
    <col min="12236" max="12236" width="12.7109375" style="76" customWidth="1"/>
    <col min="12237" max="12237" width="13.42578125" style="76" customWidth="1"/>
    <col min="12238" max="12238" width="13.140625" style="76" customWidth="1"/>
    <col min="12239" max="12239" width="14.7109375" style="76" customWidth="1"/>
    <col min="12240" max="12240" width="14.5703125" style="76" customWidth="1"/>
    <col min="12241" max="12241" width="13" style="76" customWidth="1"/>
    <col min="12242" max="12242" width="15" style="76" customWidth="1"/>
    <col min="12243" max="12244" width="12.140625" style="76" customWidth="1"/>
    <col min="12245" max="12245" width="12" style="76" customWidth="1"/>
    <col min="12246" max="12246" width="13.5703125" style="76" customWidth="1"/>
    <col min="12247" max="12247" width="14" style="76" customWidth="1"/>
    <col min="12248" max="12248" width="12.28515625" style="76" customWidth="1"/>
    <col min="12249" max="12249" width="14.140625" style="76" customWidth="1"/>
    <col min="12250" max="12250" width="13" style="76" customWidth="1"/>
    <col min="12251" max="12251" width="13.5703125" style="76" customWidth="1"/>
    <col min="12252" max="12252" width="12.42578125" style="76" customWidth="1"/>
    <col min="12253" max="12253" width="12.5703125" style="76" customWidth="1"/>
    <col min="12254" max="12254" width="11.7109375" style="76" customWidth="1"/>
    <col min="12255" max="12255" width="13.7109375" style="76" customWidth="1"/>
    <col min="12256" max="12256" width="13.28515625" style="76" customWidth="1"/>
    <col min="12257" max="12257" width="13.140625" style="76" customWidth="1"/>
    <col min="12258" max="12258" width="12" style="76" customWidth="1"/>
    <col min="12259" max="12259" width="12.140625" style="76" customWidth="1"/>
    <col min="12260" max="12260" width="12.28515625" style="76" customWidth="1"/>
    <col min="12261" max="12261" width="12.140625" style="76" customWidth="1"/>
    <col min="12262" max="12262" width="12.5703125" style="76" customWidth="1"/>
    <col min="12263" max="12479" width="9.140625" style="76"/>
    <col min="12480" max="12480" width="25.42578125" style="76" customWidth="1"/>
    <col min="12481" max="12481" width="56.28515625" style="76" customWidth="1"/>
    <col min="12482" max="12482" width="14" style="76" customWidth="1"/>
    <col min="12483" max="12484" width="14.5703125" style="76" customWidth="1"/>
    <col min="12485" max="12485" width="14.140625" style="76" customWidth="1"/>
    <col min="12486" max="12486" width="15.140625" style="76" customWidth="1"/>
    <col min="12487" max="12487" width="13.85546875" style="76" customWidth="1"/>
    <col min="12488" max="12489" width="14.7109375" style="76" customWidth="1"/>
    <col min="12490" max="12490" width="12.85546875" style="76" customWidth="1"/>
    <col min="12491" max="12491" width="13.5703125" style="76" customWidth="1"/>
    <col min="12492" max="12492" width="12.7109375" style="76" customWidth="1"/>
    <col min="12493" max="12493" width="13.42578125" style="76" customWidth="1"/>
    <col min="12494" max="12494" width="13.140625" style="76" customWidth="1"/>
    <col min="12495" max="12495" width="14.7109375" style="76" customWidth="1"/>
    <col min="12496" max="12496" width="14.5703125" style="76" customWidth="1"/>
    <col min="12497" max="12497" width="13" style="76" customWidth="1"/>
    <col min="12498" max="12498" width="15" style="76" customWidth="1"/>
    <col min="12499" max="12500" width="12.140625" style="76" customWidth="1"/>
    <col min="12501" max="12501" width="12" style="76" customWidth="1"/>
    <col min="12502" max="12502" width="13.5703125" style="76" customWidth="1"/>
    <col min="12503" max="12503" width="14" style="76" customWidth="1"/>
    <col min="12504" max="12504" width="12.28515625" style="76" customWidth="1"/>
    <col min="12505" max="12505" width="14.140625" style="76" customWidth="1"/>
    <col min="12506" max="12506" width="13" style="76" customWidth="1"/>
    <col min="12507" max="12507" width="13.5703125" style="76" customWidth="1"/>
    <col min="12508" max="12508" width="12.42578125" style="76" customWidth="1"/>
    <col min="12509" max="12509" width="12.5703125" style="76" customWidth="1"/>
    <col min="12510" max="12510" width="11.7109375" style="76" customWidth="1"/>
    <col min="12511" max="12511" width="13.7109375" style="76" customWidth="1"/>
    <col min="12512" max="12512" width="13.28515625" style="76" customWidth="1"/>
    <col min="12513" max="12513" width="13.140625" style="76" customWidth="1"/>
    <col min="12514" max="12514" width="12" style="76" customWidth="1"/>
    <col min="12515" max="12515" width="12.140625" style="76" customWidth="1"/>
    <col min="12516" max="12516" width="12.28515625" style="76" customWidth="1"/>
    <col min="12517" max="12517" width="12.140625" style="76" customWidth="1"/>
    <col min="12518" max="12518" width="12.5703125" style="76" customWidth="1"/>
    <col min="12519" max="12735" width="9.140625" style="76"/>
    <col min="12736" max="12736" width="25.42578125" style="76" customWidth="1"/>
    <col min="12737" max="12737" width="56.28515625" style="76" customWidth="1"/>
    <col min="12738" max="12738" width="14" style="76" customWidth="1"/>
    <col min="12739" max="12740" width="14.5703125" style="76" customWidth="1"/>
    <col min="12741" max="12741" width="14.140625" style="76" customWidth="1"/>
    <col min="12742" max="12742" width="15.140625" style="76" customWidth="1"/>
    <col min="12743" max="12743" width="13.85546875" style="76" customWidth="1"/>
    <col min="12744" max="12745" width="14.7109375" style="76" customWidth="1"/>
    <col min="12746" max="12746" width="12.85546875" style="76" customWidth="1"/>
    <col min="12747" max="12747" width="13.5703125" style="76" customWidth="1"/>
    <col min="12748" max="12748" width="12.7109375" style="76" customWidth="1"/>
    <col min="12749" max="12749" width="13.42578125" style="76" customWidth="1"/>
    <col min="12750" max="12750" width="13.140625" style="76" customWidth="1"/>
    <col min="12751" max="12751" width="14.7109375" style="76" customWidth="1"/>
    <col min="12752" max="12752" width="14.5703125" style="76" customWidth="1"/>
    <col min="12753" max="12753" width="13" style="76" customWidth="1"/>
    <col min="12754" max="12754" width="15" style="76" customWidth="1"/>
    <col min="12755" max="12756" width="12.140625" style="76" customWidth="1"/>
    <col min="12757" max="12757" width="12" style="76" customWidth="1"/>
    <col min="12758" max="12758" width="13.5703125" style="76" customWidth="1"/>
    <col min="12759" max="12759" width="14" style="76" customWidth="1"/>
    <col min="12760" max="12760" width="12.28515625" style="76" customWidth="1"/>
    <col min="12761" max="12761" width="14.140625" style="76" customWidth="1"/>
    <col min="12762" max="12762" width="13" style="76" customWidth="1"/>
    <col min="12763" max="12763" width="13.5703125" style="76" customWidth="1"/>
    <col min="12764" max="12764" width="12.42578125" style="76" customWidth="1"/>
    <col min="12765" max="12765" width="12.5703125" style="76" customWidth="1"/>
    <col min="12766" max="12766" width="11.7109375" style="76" customWidth="1"/>
    <col min="12767" max="12767" width="13.7109375" style="76" customWidth="1"/>
    <col min="12768" max="12768" width="13.28515625" style="76" customWidth="1"/>
    <col min="12769" max="12769" width="13.140625" style="76" customWidth="1"/>
    <col min="12770" max="12770" width="12" style="76" customWidth="1"/>
    <col min="12771" max="12771" width="12.140625" style="76" customWidth="1"/>
    <col min="12772" max="12772" width="12.28515625" style="76" customWidth="1"/>
    <col min="12773" max="12773" width="12.140625" style="76" customWidth="1"/>
    <col min="12774" max="12774" width="12.5703125" style="76" customWidth="1"/>
    <col min="12775" max="12991" width="9.140625" style="76"/>
    <col min="12992" max="12992" width="25.42578125" style="76" customWidth="1"/>
    <col min="12993" max="12993" width="56.28515625" style="76" customWidth="1"/>
    <col min="12994" max="12994" width="14" style="76" customWidth="1"/>
    <col min="12995" max="12996" width="14.5703125" style="76" customWidth="1"/>
    <col min="12997" max="12997" width="14.140625" style="76" customWidth="1"/>
    <col min="12998" max="12998" width="15.140625" style="76" customWidth="1"/>
    <col min="12999" max="12999" width="13.85546875" style="76" customWidth="1"/>
    <col min="13000" max="13001" width="14.7109375" style="76" customWidth="1"/>
    <col min="13002" max="13002" width="12.85546875" style="76" customWidth="1"/>
    <col min="13003" max="13003" width="13.5703125" style="76" customWidth="1"/>
    <col min="13004" max="13004" width="12.7109375" style="76" customWidth="1"/>
    <col min="13005" max="13005" width="13.42578125" style="76" customWidth="1"/>
    <col min="13006" max="13006" width="13.140625" style="76" customWidth="1"/>
    <col min="13007" max="13007" width="14.7109375" style="76" customWidth="1"/>
    <col min="13008" max="13008" width="14.5703125" style="76" customWidth="1"/>
    <col min="13009" max="13009" width="13" style="76" customWidth="1"/>
    <col min="13010" max="13010" width="15" style="76" customWidth="1"/>
    <col min="13011" max="13012" width="12.140625" style="76" customWidth="1"/>
    <col min="13013" max="13013" width="12" style="76" customWidth="1"/>
    <col min="13014" max="13014" width="13.5703125" style="76" customWidth="1"/>
    <col min="13015" max="13015" width="14" style="76" customWidth="1"/>
    <col min="13016" max="13016" width="12.28515625" style="76" customWidth="1"/>
    <col min="13017" max="13017" width="14.140625" style="76" customWidth="1"/>
    <col min="13018" max="13018" width="13" style="76" customWidth="1"/>
    <col min="13019" max="13019" width="13.5703125" style="76" customWidth="1"/>
    <col min="13020" max="13020" width="12.42578125" style="76" customWidth="1"/>
    <col min="13021" max="13021" width="12.5703125" style="76" customWidth="1"/>
    <col min="13022" max="13022" width="11.7109375" style="76" customWidth="1"/>
    <col min="13023" max="13023" width="13.7109375" style="76" customWidth="1"/>
    <col min="13024" max="13024" width="13.28515625" style="76" customWidth="1"/>
    <col min="13025" max="13025" width="13.140625" style="76" customWidth="1"/>
    <col min="13026" max="13026" width="12" style="76" customWidth="1"/>
    <col min="13027" max="13027" width="12.140625" style="76" customWidth="1"/>
    <col min="13028" max="13028" width="12.28515625" style="76" customWidth="1"/>
    <col min="13029" max="13029" width="12.140625" style="76" customWidth="1"/>
    <col min="13030" max="13030" width="12.5703125" style="76" customWidth="1"/>
    <col min="13031" max="13247" width="9.140625" style="76"/>
    <col min="13248" max="13248" width="25.42578125" style="76" customWidth="1"/>
    <col min="13249" max="13249" width="56.28515625" style="76" customWidth="1"/>
    <col min="13250" max="13250" width="14" style="76" customWidth="1"/>
    <col min="13251" max="13252" width="14.5703125" style="76" customWidth="1"/>
    <col min="13253" max="13253" width="14.140625" style="76" customWidth="1"/>
    <col min="13254" max="13254" width="15.140625" style="76" customWidth="1"/>
    <col min="13255" max="13255" width="13.85546875" style="76" customWidth="1"/>
    <col min="13256" max="13257" width="14.7109375" style="76" customWidth="1"/>
    <col min="13258" max="13258" width="12.85546875" style="76" customWidth="1"/>
    <col min="13259" max="13259" width="13.5703125" style="76" customWidth="1"/>
    <col min="13260" max="13260" width="12.7109375" style="76" customWidth="1"/>
    <col min="13261" max="13261" width="13.42578125" style="76" customWidth="1"/>
    <col min="13262" max="13262" width="13.140625" style="76" customWidth="1"/>
    <col min="13263" max="13263" width="14.7109375" style="76" customWidth="1"/>
    <col min="13264" max="13264" width="14.5703125" style="76" customWidth="1"/>
    <col min="13265" max="13265" width="13" style="76" customWidth="1"/>
    <col min="13266" max="13266" width="15" style="76" customWidth="1"/>
    <col min="13267" max="13268" width="12.140625" style="76" customWidth="1"/>
    <col min="13269" max="13269" width="12" style="76" customWidth="1"/>
    <col min="13270" max="13270" width="13.5703125" style="76" customWidth="1"/>
    <col min="13271" max="13271" width="14" style="76" customWidth="1"/>
    <col min="13272" max="13272" width="12.28515625" style="76" customWidth="1"/>
    <col min="13273" max="13273" width="14.140625" style="76" customWidth="1"/>
    <col min="13274" max="13274" width="13" style="76" customWidth="1"/>
    <col min="13275" max="13275" width="13.5703125" style="76" customWidth="1"/>
    <col min="13276" max="13276" width="12.42578125" style="76" customWidth="1"/>
    <col min="13277" max="13277" width="12.5703125" style="76" customWidth="1"/>
    <col min="13278" max="13278" width="11.7109375" style="76" customWidth="1"/>
    <col min="13279" max="13279" width="13.7109375" style="76" customWidth="1"/>
    <col min="13280" max="13280" width="13.28515625" style="76" customWidth="1"/>
    <col min="13281" max="13281" width="13.140625" style="76" customWidth="1"/>
    <col min="13282" max="13282" width="12" style="76" customWidth="1"/>
    <col min="13283" max="13283" width="12.140625" style="76" customWidth="1"/>
    <col min="13284" max="13284" width="12.28515625" style="76" customWidth="1"/>
    <col min="13285" max="13285" width="12.140625" style="76" customWidth="1"/>
    <col min="13286" max="13286" width="12.5703125" style="76" customWidth="1"/>
    <col min="13287" max="13503" width="9.140625" style="76"/>
    <col min="13504" max="13504" width="25.42578125" style="76" customWidth="1"/>
    <col min="13505" max="13505" width="56.28515625" style="76" customWidth="1"/>
    <col min="13506" max="13506" width="14" style="76" customWidth="1"/>
    <col min="13507" max="13508" width="14.5703125" style="76" customWidth="1"/>
    <col min="13509" max="13509" width="14.140625" style="76" customWidth="1"/>
    <col min="13510" max="13510" width="15.140625" style="76" customWidth="1"/>
    <col min="13511" max="13511" width="13.85546875" style="76" customWidth="1"/>
    <col min="13512" max="13513" width="14.7109375" style="76" customWidth="1"/>
    <col min="13514" max="13514" width="12.85546875" style="76" customWidth="1"/>
    <col min="13515" max="13515" width="13.5703125" style="76" customWidth="1"/>
    <col min="13516" max="13516" width="12.7109375" style="76" customWidth="1"/>
    <col min="13517" max="13517" width="13.42578125" style="76" customWidth="1"/>
    <col min="13518" max="13518" width="13.140625" style="76" customWidth="1"/>
    <col min="13519" max="13519" width="14.7109375" style="76" customWidth="1"/>
    <col min="13520" max="13520" width="14.5703125" style="76" customWidth="1"/>
    <col min="13521" max="13521" width="13" style="76" customWidth="1"/>
    <col min="13522" max="13522" width="15" style="76" customWidth="1"/>
    <col min="13523" max="13524" width="12.140625" style="76" customWidth="1"/>
    <col min="13525" max="13525" width="12" style="76" customWidth="1"/>
    <col min="13526" max="13526" width="13.5703125" style="76" customWidth="1"/>
    <col min="13527" max="13527" width="14" style="76" customWidth="1"/>
    <col min="13528" max="13528" width="12.28515625" style="76" customWidth="1"/>
    <col min="13529" max="13529" width="14.140625" style="76" customWidth="1"/>
    <col min="13530" max="13530" width="13" style="76" customWidth="1"/>
    <col min="13531" max="13531" width="13.5703125" style="76" customWidth="1"/>
    <col min="13532" max="13532" width="12.42578125" style="76" customWidth="1"/>
    <col min="13533" max="13533" width="12.5703125" style="76" customWidth="1"/>
    <col min="13534" max="13534" width="11.7109375" style="76" customWidth="1"/>
    <col min="13535" max="13535" width="13.7109375" style="76" customWidth="1"/>
    <col min="13536" max="13536" width="13.28515625" style="76" customWidth="1"/>
    <col min="13537" max="13537" width="13.140625" style="76" customWidth="1"/>
    <col min="13538" max="13538" width="12" style="76" customWidth="1"/>
    <col min="13539" max="13539" width="12.140625" style="76" customWidth="1"/>
    <col min="13540" max="13540" width="12.28515625" style="76" customWidth="1"/>
    <col min="13541" max="13541" width="12.140625" style="76" customWidth="1"/>
    <col min="13542" max="13542" width="12.5703125" style="76" customWidth="1"/>
    <col min="13543" max="13759" width="9.140625" style="76"/>
    <col min="13760" max="13760" width="25.42578125" style="76" customWidth="1"/>
    <col min="13761" max="13761" width="56.28515625" style="76" customWidth="1"/>
    <col min="13762" max="13762" width="14" style="76" customWidth="1"/>
    <col min="13763" max="13764" width="14.5703125" style="76" customWidth="1"/>
    <col min="13765" max="13765" width="14.140625" style="76" customWidth="1"/>
    <col min="13766" max="13766" width="15.140625" style="76" customWidth="1"/>
    <col min="13767" max="13767" width="13.85546875" style="76" customWidth="1"/>
    <col min="13768" max="13769" width="14.7109375" style="76" customWidth="1"/>
    <col min="13770" max="13770" width="12.85546875" style="76" customWidth="1"/>
    <col min="13771" max="13771" width="13.5703125" style="76" customWidth="1"/>
    <col min="13772" max="13772" width="12.7109375" style="76" customWidth="1"/>
    <col min="13773" max="13773" width="13.42578125" style="76" customWidth="1"/>
    <col min="13774" max="13774" width="13.140625" style="76" customWidth="1"/>
    <col min="13775" max="13775" width="14.7109375" style="76" customWidth="1"/>
    <col min="13776" max="13776" width="14.5703125" style="76" customWidth="1"/>
    <col min="13777" max="13777" width="13" style="76" customWidth="1"/>
    <col min="13778" max="13778" width="15" style="76" customWidth="1"/>
    <col min="13779" max="13780" width="12.140625" style="76" customWidth="1"/>
    <col min="13781" max="13781" width="12" style="76" customWidth="1"/>
    <col min="13782" max="13782" width="13.5703125" style="76" customWidth="1"/>
    <col min="13783" max="13783" width="14" style="76" customWidth="1"/>
    <col min="13784" max="13784" width="12.28515625" style="76" customWidth="1"/>
    <col min="13785" max="13785" width="14.140625" style="76" customWidth="1"/>
    <col min="13786" max="13786" width="13" style="76" customWidth="1"/>
    <col min="13787" max="13787" width="13.5703125" style="76" customWidth="1"/>
    <col min="13788" max="13788" width="12.42578125" style="76" customWidth="1"/>
    <col min="13789" max="13789" width="12.5703125" style="76" customWidth="1"/>
    <col min="13790" max="13790" width="11.7109375" style="76" customWidth="1"/>
    <col min="13791" max="13791" width="13.7109375" style="76" customWidth="1"/>
    <col min="13792" max="13792" width="13.28515625" style="76" customWidth="1"/>
    <col min="13793" max="13793" width="13.140625" style="76" customWidth="1"/>
    <col min="13794" max="13794" width="12" style="76" customWidth="1"/>
    <col min="13795" max="13795" width="12.140625" style="76" customWidth="1"/>
    <col min="13796" max="13796" width="12.28515625" style="76" customWidth="1"/>
    <col min="13797" max="13797" width="12.140625" style="76" customWidth="1"/>
    <col min="13798" max="13798" width="12.5703125" style="76" customWidth="1"/>
    <col min="13799" max="14015" width="9.140625" style="76"/>
    <col min="14016" max="14016" width="25.42578125" style="76" customWidth="1"/>
    <col min="14017" max="14017" width="56.28515625" style="76" customWidth="1"/>
    <col min="14018" max="14018" width="14" style="76" customWidth="1"/>
    <col min="14019" max="14020" width="14.5703125" style="76" customWidth="1"/>
    <col min="14021" max="14021" width="14.140625" style="76" customWidth="1"/>
    <col min="14022" max="14022" width="15.140625" style="76" customWidth="1"/>
    <col min="14023" max="14023" width="13.85546875" style="76" customWidth="1"/>
    <col min="14024" max="14025" width="14.7109375" style="76" customWidth="1"/>
    <col min="14026" max="14026" width="12.85546875" style="76" customWidth="1"/>
    <col min="14027" max="14027" width="13.5703125" style="76" customWidth="1"/>
    <col min="14028" max="14028" width="12.7109375" style="76" customWidth="1"/>
    <col min="14029" max="14029" width="13.42578125" style="76" customWidth="1"/>
    <col min="14030" max="14030" width="13.140625" style="76" customWidth="1"/>
    <col min="14031" max="14031" width="14.7109375" style="76" customWidth="1"/>
    <col min="14032" max="14032" width="14.5703125" style="76" customWidth="1"/>
    <col min="14033" max="14033" width="13" style="76" customWidth="1"/>
    <col min="14034" max="14034" width="15" style="76" customWidth="1"/>
    <col min="14035" max="14036" width="12.140625" style="76" customWidth="1"/>
    <col min="14037" max="14037" width="12" style="76" customWidth="1"/>
    <col min="14038" max="14038" width="13.5703125" style="76" customWidth="1"/>
    <col min="14039" max="14039" width="14" style="76" customWidth="1"/>
    <col min="14040" max="14040" width="12.28515625" style="76" customWidth="1"/>
    <col min="14041" max="14041" width="14.140625" style="76" customWidth="1"/>
    <col min="14042" max="14042" width="13" style="76" customWidth="1"/>
    <col min="14043" max="14043" width="13.5703125" style="76" customWidth="1"/>
    <col min="14044" max="14044" width="12.42578125" style="76" customWidth="1"/>
    <col min="14045" max="14045" width="12.5703125" style="76" customWidth="1"/>
    <col min="14046" max="14046" width="11.7109375" style="76" customWidth="1"/>
    <col min="14047" max="14047" width="13.7109375" style="76" customWidth="1"/>
    <col min="14048" max="14048" width="13.28515625" style="76" customWidth="1"/>
    <col min="14049" max="14049" width="13.140625" style="76" customWidth="1"/>
    <col min="14050" max="14050" width="12" style="76" customWidth="1"/>
    <col min="14051" max="14051" width="12.140625" style="76" customWidth="1"/>
    <col min="14052" max="14052" width="12.28515625" style="76" customWidth="1"/>
    <col min="14053" max="14053" width="12.140625" style="76" customWidth="1"/>
    <col min="14054" max="14054" width="12.5703125" style="76" customWidth="1"/>
    <col min="14055" max="14271" width="9.140625" style="76"/>
    <col min="14272" max="14272" width="25.42578125" style="76" customWidth="1"/>
    <col min="14273" max="14273" width="56.28515625" style="76" customWidth="1"/>
    <col min="14274" max="14274" width="14" style="76" customWidth="1"/>
    <col min="14275" max="14276" width="14.5703125" style="76" customWidth="1"/>
    <col min="14277" max="14277" width="14.140625" style="76" customWidth="1"/>
    <col min="14278" max="14278" width="15.140625" style="76" customWidth="1"/>
    <col min="14279" max="14279" width="13.85546875" style="76" customWidth="1"/>
    <col min="14280" max="14281" width="14.7109375" style="76" customWidth="1"/>
    <col min="14282" max="14282" width="12.85546875" style="76" customWidth="1"/>
    <col min="14283" max="14283" width="13.5703125" style="76" customWidth="1"/>
    <col min="14284" max="14284" width="12.7109375" style="76" customWidth="1"/>
    <col min="14285" max="14285" width="13.42578125" style="76" customWidth="1"/>
    <col min="14286" max="14286" width="13.140625" style="76" customWidth="1"/>
    <col min="14287" max="14287" width="14.7109375" style="76" customWidth="1"/>
    <col min="14288" max="14288" width="14.5703125" style="76" customWidth="1"/>
    <col min="14289" max="14289" width="13" style="76" customWidth="1"/>
    <col min="14290" max="14290" width="15" style="76" customWidth="1"/>
    <col min="14291" max="14292" width="12.140625" style="76" customWidth="1"/>
    <col min="14293" max="14293" width="12" style="76" customWidth="1"/>
    <col min="14294" max="14294" width="13.5703125" style="76" customWidth="1"/>
    <col min="14295" max="14295" width="14" style="76" customWidth="1"/>
    <col min="14296" max="14296" width="12.28515625" style="76" customWidth="1"/>
    <col min="14297" max="14297" width="14.140625" style="76" customWidth="1"/>
    <col min="14298" max="14298" width="13" style="76" customWidth="1"/>
    <col min="14299" max="14299" width="13.5703125" style="76" customWidth="1"/>
    <col min="14300" max="14300" width="12.42578125" style="76" customWidth="1"/>
    <col min="14301" max="14301" width="12.5703125" style="76" customWidth="1"/>
    <col min="14302" max="14302" width="11.7109375" style="76" customWidth="1"/>
    <col min="14303" max="14303" width="13.7109375" style="76" customWidth="1"/>
    <col min="14304" max="14304" width="13.28515625" style="76" customWidth="1"/>
    <col min="14305" max="14305" width="13.140625" style="76" customWidth="1"/>
    <col min="14306" max="14306" width="12" style="76" customWidth="1"/>
    <col min="14307" max="14307" width="12.140625" style="76" customWidth="1"/>
    <col min="14308" max="14308" width="12.28515625" style="76" customWidth="1"/>
    <col min="14309" max="14309" width="12.140625" style="76" customWidth="1"/>
    <col min="14310" max="14310" width="12.5703125" style="76" customWidth="1"/>
    <col min="14311" max="14527" width="9.140625" style="76"/>
    <col min="14528" max="14528" width="25.42578125" style="76" customWidth="1"/>
    <col min="14529" max="14529" width="56.28515625" style="76" customWidth="1"/>
    <col min="14530" max="14530" width="14" style="76" customWidth="1"/>
    <col min="14531" max="14532" width="14.5703125" style="76" customWidth="1"/>
    <col min="14533" max="14533" width="14.140625" style="76" customWidth="1"/>
    <col min="14534" max="14534" width="15.140625" style="76" customWidth="1"/>
    <col min="14535" max="14535" width="13.85546875" style="76" customWidth="1"/>
    <col min="14536" max="14537" width="14.7109375" style="76" customWidth="1"/>
    <col min="14538" max="14538" width="12.85546875" style="76" customWidth="1"/>
    <col min="14539" max="14539" width="13.5703125" style="76" customWidth="1"/>
    <col min="14540" max="14540" width="12.7109375" style="76" customWidth="1"/>
    <col min="14541" max="14541" width="13.42578125" style="76" customWidth="1"/>
    <col min="14542" max="14542" width="13.140625" style="76" customWidth="1"/>
    <col min="14543" max="14543" width="14.7109375" style="76" customWidth="1"/>
    <col min="14544" max="14544" width="14.5703125" style="76" customWidth="1"/>
    <col min="14545" max="14545" width="13" style="76" customWidth="1"/>
    <col min="14546" max="14546" width="15" style="76" customWidth="1"/>
    <col min="14547" max="14548" width="12.140625" style="76" customWidth="1"/>
    <col min="14549" max="14549" width="12" style="76" customWidth="1"/>
    <col min="14550" max="14550" width="13.5703125" style="76" customWidth="1"/>
    <col min="14551" max="14551" width="14" style="76" customWidth="1"/>
    <col min="14552" max="14552" width="12.28515625" style="76" customWidth="1"/>
    <col min="14553" max="14553" width="14.140625" style="76" customWidth="1"/>
    <col min="14554" max="14554" width="13" style="76" customWidth="1"/>
    <col min="14555" max="14555" width="13.5703125" style="76" customWidth="1"/>
    <col min="14556" max="14556" width="12.42578125" style="76" customWidth="1"/>
    <col min="14557" max="14557" width="12.5703125" style="76" customWidth="1"/>
    <col min="14558" max="14558" width="11.7109375" style="76" customWidth="1"/>
    <col min="14559" max="14559" width="13.7109375" style="76" customWidth="1"/>
    <col min="14560" max="14560" width="13.28515625" style="76" customWidth="1"/>
    <col min="14561" max="14561" width="13.140625" style="76" customWidth="1"/>
    <col min="14562" max="14562" width="12" style="76" customWidth="1"/>
    <col min="14563" max="14563" width="12.140625" style="76" customWidth="1"/>
    <col min="14564" max="14564" width="12.28515625" style="76" customWidth="1"/>
    <col min="14565" max="14565" width="12.140625" style="76" customWidth="1"/>
    <col min="14566" max="14566" width="12.5703125" style="76" customWidth="1"/>
    <col min="14567" max="14783" width="9.140625" style="76"/>
    <col min="14784" max="14784" width="25.42578125" style="76" customWidth="1"/>
    <col min="14785" max="14785" width="56.28515625" style="76" customWidth="1"/>
    <col min="14786" max="14786" width="14" style="76" customWidth="1"/>
    <col min="14787" max="14788" width="14.5703125" style="76" customWidth="1"/>
    <col min="14789" max="14789" width="14.140625" style="76" customWidth="1"/>
    <col min="14790" max="14790" width="15.140625" style="76" customWidth="1"/>
    <col min="14791" max="14791" width="13.85546875" style="76" customWidth="1"/>
    <col min="14792" max="14793" width="14.7109375" style="76" customWidth="1"/>
    <col min="14794" max="14794" width="12.85546875" style="76" customWidth="1"/>
    <col min="14795" max="14795" width="13.5703125" style="76" customWidth="1"/>
    <col min="14796" max="14796" width="12.7109375" style="76" customWidth="1"/>
    <col min="14797" max="14797" width="13.42578125" style="76" customWidth="1"/>
    <col min="14798" max="14798" width="13.140625" style="76" customWidth="1"/>
    <col min="14799" max="14799" width="14.7109375" style="76" customWidth="1"/>
    <col min="14800" max="14800" width="14.5703125" style="76" customWidth="1"/>
    <col min="14801" max="14801" width="13" style="76" customWidth="1"/>
    <col min="14802" max="14802" width="15" style="76" customWidth="1"/>
    <col min="14803" max="14804" width="12.140625" style="76" customWidth="1"/>
    <col min="14805" max="14805" width="12" style="76" customWidth="1"/>
    <col min="14806" max="14806" width="13.5703125" style="76" customWidth="1"/>
    <col min="14807" max="14807" width="14" style="76" customWidth="1"/>
    <col min="14808" max="14808" width="12.28515625" style="76" customWidth="1"/>
    <col min="14809" max="14809" width="14.140625" style="76" customWidth="1"/>
    <col min="14810" max="14810" width="13" style="76" customWidth="1"/>
    <col min="14811" max="14811" width="13.5703125" style="76" customWidth="1"/>
    <col min="14812" max="14812" width="12.42578125" style="76" customWidth="1"/>
    <col min="14813" max="14813" width="12.5703125" style="76" customWidth="1"/>
    <col min="14814" max="14814" width="11.7109375" style="76" customWidth="1"/>
    <col min="14815" max="14815" width="13.7109375" style="76" customWidth="1"/>
    <col min="14816" max="14816" width="13.28515625" style="76" customWidth="1"/>
    <col min="14817" max="14817" width="13.140625" style="76" customWidth="1"/>
    <col min="14818" max="14818" width="12" style="76" customWidth="1"/>
    <col min="14819" max="14819" width="12.140625" style="76" customWidth="1"/>
    <col min="14820" max="14820" width="12.28515625" style="76" customWidth="1"/>
    <col min="14821" max="14821" width="12.140625" style="76" customWidth="1"/>
    <col min="14822" max="14822" width="12.5703125" style="76" customWidth="1"/>
    <col min="14823" max="15039" width="9.140625" style="76"/>
    <col min="15040" max="15040" width="25.42578125" style="76" customWidth="1"/>
    <col min="15041" max="15041" width="56.28515625" style="76" customWidth="1"/>
    <col min="15042" max="15042" width="14" style="76" customWidth="1"/>
    <col min="15043" max="15044" width="14.5703125" style="76" customWidth="1"/>
    <col min="15045" max="15045" width="14.140625" style="76" customWidth="1"/>
    <col min="15046" max="15046" width="15.140625" style="76" customWidth="1"/>
    <col min="15047" max="15047" width="13.85546875" style="76" customWidth="1"/>
    <col min="15048" max="15049" width="14.7109375" style="76" customWidth="1"/>
    <col min="15050" max="15050" width="12.85546875" style="76" customWidth="1"/>
    <col min="15051" max="15051" width="13.5703125" style="76" customWidth="1"/>
    <col min="15052" max="15052" width="12.7109375" style="76" customWidth="1"/>
    <col min="15053" max="15053" width="13.42578125" style="76" customWidth="1"/>
    <col min="15054" max="15054" width="13.140625" style="76" customWidth="1"/>
    <col min="15055" max="15055" width="14.7109375" style="76" customWidth="1"/>
    <col min="15056" max="15056" width="14.5703125" style="76" customWidth="1"/>
    <col min="15057" max="15057" width="13" style="76" customWidth="1"/>
    <col min="15058" max="15058" width="15" style="76" customWidth="1"/>
    <col min="15059" max="15060" width="12.140625" style="76" customWidth="1"/>
    <col min="15061" max="15061" width="12" style="76" customWidth="1"/>
    <col min="15062" max="15062" width="13.5703125" style="76" customWidth="1"/>
    <col min="15063" max="15063" width="14" style="76" customWidth="1"/>
    <col min="15064" max="15064" width="12.28515625" style="76" customWidth="1"/>
    <col min="15065" max="15065" width="14.140625" style="76" customWidth="1"/>
    <col min="15066" max="15066" width="13" style="76" customWidth="1"/>
    <col min="15067" max="15067" width="13.5703125" style="76" customWidth="1"/>
    <col min="15068" max="15068" width="12.42578125" style="76" customWidth="1"/>
    <col min="15069" max="15069" width="12.5703125" style="76" customWidth="1"/>
    <col min="15070" max="15070" width="11.7109375" style="76" customWidth="1"/>
    <col min="15071" max="15071" width="13.7109375" style="76" customWidth="1"/>
    <col min="15072" max="15072" width="13.28515625" style="76" customWidth="1"/>
    <col min="15073" max="15073" width="13.140625" style="76" customWidth="1"/>
    <col min="15074" max="15074" width="12" style="76" customWidth="1"/>
    <col min="15075" max="15075" width="12.140625" style="76" customWidth="1"/>
    <col min="15076" max="15076" width="12.28515625" style="76" customWidth="1"/>
    <col min="15077" max="15077" width="12.140625" style="76" customWidth="1"/>
    <col min="15078" max="15078" width="12.5703125" style="76" customWidth="1"/>
    <col min="15079" max="15295" width="9.140625" style="76"/>
    <col min="15296" max="15296" width="25.42578125" style="76" customWidth="1"/>
    <col min="15297" max="15297" width="56.28515625" style="76" customWidth="1"/>
    <col min="15298" max="15298" width="14" style="76" customWidth="1"/>
    <col min="15299" max="15300" width="14.5703125" style="76" customWidth="1"/>
    <col min="15301" max="15301" width="14.140625" style="76" customWidth="1"/>
    <col min="15302" max="15302" width="15.140625" style="76" customWidth="1"/>
    <col min="15303" max="15303" width="13.85546875" style="76" customWidth="1"/>
    <col min="15304" max="15305" width="14.7109375" style="76" customWidth="1"/>
    <col min="15306" max="15306" width="12.85546875" style="76" customWidth="1"/>
    <col min="15307" max="15307" width="13.5703125" style="76" customWidth="1"/>
    <col min="15308" max="15308" width="12.7109375" style="76" customWidth="1"/>
    <col min="15309" max="15309" width="13.42578125" style="76" customWidth="1"/>
    <col min="15310" max="15310" width="13.140625" style="76" customWidth="1"/>
    <col min="15311" max="15311" width="14.7109375" style="76" customWidth="1"/>
    <col min="15312" max="15312" width="14.5703125" style="76" customWidth="1"/>
    <col min="15313" max="15313" width="13" style="76" customWidth="1"/>
    <col min="15314" max="15314" width="15" style="76" customWidth="1"/>
    <col min="15315" max="15316" width="12.140625" style="76" customWidth="1"/>
    <col min="15317" max="15317" width="12" style="76" customWidth="1"/>
    <col min="15318" max="15318" width="13.5703125" style="76" customWidth="1"/>
    <col min="15319" max="15319" width="14" style="76" customWidth="1"/>
    <col min="15320" max="15320" width="12.28515625" style="76" customWidth="1"/>
    <col min="15321" max="15321" width="14.140625" style="76" customWidth="1"/>
    <col min="15322" max="15322" width="13" style="76" customWidth="1"/>
    <col min="15323" max="15323" width="13.5703125" style="76" customWidth="1"/>
    <col min="15324" max="15324" width="12.42578125" style="76" customWidth="1"/>
    <col min="15325" max="15325" width="12.5703125" style="76" customWidth="1"/>
    <col min="15326" max="15326" width="11.7109375" style="76" customWidth="1"/>
    <col min="15327" max="15327" width="13.7109375" style="76" customWidth="1"/>
    <col min="15328" max="15328" width="13.28515625" style="76" customWidth="1"/>
    <col min="15329" max="15329" width="13.140625" style="76" customWidth="1"/>
    <col min="15330" max="15330" width="12" style="76" customWidth="1"/>
    <col min="15331" max="15331" width="12.140625" style="76" customWidth="1"/>
    <col min="15332" max="15332" width="12.28515625" style="76" customWidth="1"/>
    <col min="15333" max="15333" width="12.140625" style="76" customWidth="1"/>
    <col min="15334" max="15334" width="12.5703125" style="76" customWidth="1"/>
    <col min="15335" max="15551" width="9.140625" style="76"/>
    <col min="15552" max="15552" width="25.42578125" style="76" customWidth="1"/>
    <col min="15553" max="15553" width="56.28515625" style="76" customWidth="1"/>
    <col min="15554" max="15554" width="14" style="76" customWidth="1"/>
    <col min="15555" max="15556" width="14.5703125" style="76" customWidth="1"/>
    <col min="15557" max="15557" width="14.140625" style="76" customWidth="1"/>
    <col min="15558" max="15558" width="15.140625" style="76" customWidth="1"/>
    <col min="15559" max="15559" width="13.85546875" style="76" customWidth="1"/>
    <col min="15560" max="15561" width="14.7109375" style="76" customWidth="1"/>
    <col min="15562" max="15562" width="12.85546875" style="76" customWidth="1"/>
    <col min="15563" max="15563" width="13.5703125" style="76" customWidth="1"/>
    <col min="15564" max="15564" width="12.7109375" style="76" customWidth="1"/>
    <col min="15565" max="15565" width="13.42578125" style="76" customWidth="1"/>
    <col min="15566" max="15566" width="13.140625" style="76" customWidth="1"/>
    <col min="15567" max="15567" width="14.7109375" style="76" customWidth="1"/>
    <col min="15568" max="15568" width="14.5703125" style="76" customWidth="1"/>
    <col min="15569" max="15569" width="13" style="76" customWidth="1"/>
    <col min="15570" max="15570" width="15" style="76" customWidth="1"/>
    <col min="15571" max="15572" width="12.140625" style="76" customWidth="1"/>
    <col min="15573" max="15573" width="12" style="76" customWidth="1"/>
    <col min="15574" max="15574" width="13.5703125" style="76" customWidth="1"/>
    <col min="15575" max="15575" width="14" style="76" customWidth="1"/>
    <col min="15576" max="15576" width="12.28515625" style="76" customWidth="1"/>
    <col min="15577" max="15577" width="14.140625" style="76" customWidth="1"/>
    <col min="15578" max="15578" width="13" style="76" customWidth="1"/>
    <col min="15579" max="15579" width="13.5703125" style="76" customWidth="1"/>
    <col min="15580" max="15580" width="12.42578125" style="76" customWidth="1"/>
    <col min="15581" max="15581" width="12.5703125" style="76" customWidth="1"/>
    <col min="15582" max="15582" width="11.7109375" style="76" customWidth="1"/>
    <col min="15583" max="15583" width="13.7109375" style="76" customWidth="1"/>
    <col min="15584" max="15584" width="13.28515625" style="76" customWidth="1"/>
    <col min="15585" max="15585" width="13.140625" style="76" customWidth="1"/>
    <col min="15586" max="15586" width="12" style="76" customWidth="1"/>
    <col min="15587" max="15587" width="12.140625" style="76" customWidth="1"/>
    <col min="15588" max="15588" width="12.28515625" style="76" customWidth="1"/>
    <col min="15589" max="15589" width="12.140625" style="76" customWidth="1"/>
    <col min="15590" max="15590" width="12.5703125" style="76" customWidth="1"/>
    <col min="15591" max="15807" width="9.140625" style="76"/>
    <col min="15808" max="15808" width="25.42578125" style="76" customWidth="1"/>
    <col min="15809" max="15809" width="56.28515625" style="76" customWidth="1"/>
    <col min="15810" max="15810" width="14" style="76" customWidth="1"/>
    <col min="15811" max="15812" width="14.5703125" style="76" customWidth="1"/>
    <col min="15813" max="15813" width="14.140625" style="76" customWidth="1"/>
    <col min="15814" max="15814" width="15.140625" style="76" customWidth="1"/>
    <col min="15815" max="15815" width="13.85546875" style="76" customWidth="1"/>
    <col min="15816" max="15817" width="14.7109375" style="76" customWidth="1"/>
    <col min="15818" max="15818" width="12.85546875" style="76" customWidth="1"/>
    <col min="15819" max="15819" width="13.5703125" style="76" customWidth="1"/>
    <col min="15820" max="15820" width="12.7109375" style="76" customWidth="1"/>
    <col min="15821" max="15821" width="13.42578125" style="76" customWidth="1"/>
    <col min="15822" max="15822" width="13.140625" style="76" customWidth="1"/>
    <col min="15823" max="15823" width="14.7109375" style="76" customWidth="1"/>
    <col min="15824" max="15824" width="14.5703125" style="76" customWidth="1"/>
    <col min="15825" max="15825" width="13" style="76" customWidth="1"/>
    <col min="15826" max="15826" width="15" style="76" customWidth="1"/>
    <col min="15827" max="15828" width="12.140625" style="76" customWidth="1"/>
    <col min="15829" max="15829" width="12" style="76" customWidth="1"/>
    <col min="15830" max="15830" width="13.5703125" style="76" customWidth="1"/>
    <col min="15831" max="15831" width="14" style="76" customWidth="1"/>
    <col min="15832" max="15832" width="12.28515625" style="76" customWidth="1"/>
    <col min="15833" max="15833" width="14.140625" style="76" customWidth="1"/>
    <col min="15834" max="15834" width="13" style="76" customWidth="1"/>
    <col min="15835" max="15835" width="13.5703125" style="76" customWidth="1"/>
    <col min="15836" max="15836" width="12.42578125" style="76" customWidth="1"/>
    <col min="15837" max="15837" width="12.5703125" style="76" customWidth="1"/>
    <col min="15838" max="15838" width="11.7109375" style="76" customWidth="1"/>
    <col min="15839" max="15839" width="13.7109375" style="76" customWidth="1"/>
    <col min="15840" max="15840" width="13.28515625" style="76" customWidth="1"/>
    <col min="15841" max="15841" width="13.140625" style="76" customWidth="1"/>
    <col min="15842" max="15842" width="12" style="76" customWidth="1"/>
    <col min="15843" max="15843" width="12.140625" style="76" customWidth="1"/>
    <col min="15844" max="15844" width="12.28515625" style="76" customWidth="1"/>
    <col min="15845" max="15845" width="12.140625" style="76" customWidth="1"/>
    <col min="15846" max="15846" width="12.5703125" style="76" customWidth="1"/>
    <col min="15847" max="16063" width="9.140625" style="76"/>
    <col min="16064" max="16064" width="25.42578125" style="76" customWidth="1"/>
    <col min="16065" max="16065" width="56.28515625" style="76" customWidth="1"/>
    <col min="16066" max="16066" width="14" style="76" customWidth="1"/>
    <col min="16067" max="16068" width="14.5703125" style="76" customWidth="1"/>
    <col min="16069" max="16069" width="14.140625" style="76" customWidth="1"/>
    <col min="16070" max="16070" width="15.140625" style="76" customWidth="1"/>
    <col min="16071" max="16071" width="13.85546875" style="76" customWidth="1"/>
    <col min="16072" max="16073" width="14.7109375" style="76" customWidth="1"/>
    <col min="16074" max="16074" width="12.85546875" style="76" customWidth="1"/>
    <col min="16075" max="16075" width="13.5703125" style="76" customWidth="1"/>
    <col min="16076" max="16076" width="12.7109375" style="76" customWidth="1"/>
    <col min="16077" max="16077" width="13.42578125" style="76" customWidth="1"/>
    <col min="16078" max="16078" width="13.140625" style="76" customWidth="1"/>
    <col min="16079" max="16079" width="14.7109375" style="76" customWidth="1"/>
    <col min="16080" max="16080" width="14.5703125" style="76" customWidth="1"/>
    <col min="16081" max="16081" width="13" style="76" customWidth="1"/>
    <col min="16082" max="16082" width="15" style="76" customWidth="1"/>
    <col min="16083" max="16084" width="12.140625" style="76" customWidth="1"/>
    <col min="16085" max="16085" width="12" style="76" customWidth="1"/>
    <col min="16086" max="16086" width="13.5703125" style="76" customWidth="1"/>
    <col min="16087" max="16087" width="14" style="76" customWidth="1"/>
    <col min="16088" max="16088" width="12.28515625" style="76" customWidth="1"/>
    <col min="16089" max="16089" width="14.140625" style="76" customWidth="1"/>
    <col min="16090" max="16090" width="13" style="76" customWidth="1"/>
    <col min="16091" max="16091" width="13.5703125" style="76" customWidth="1"/>
    <col min="16092" max="16092" width="12.42578125" style="76" customWidth="1"/>
    <col min="16093" max="16093" width="12.5703125" style="76" customWidth="1"/>
    <col min="16094" max="16094" width="11.7109375" style="76" customWidth="1"/>
    <col min="16095" max="16095" width="13.7109375" style="76" customWidth="1"/>
    <col min="16096" max="16096" width="13.28515625" style="76" customWidth="1"/>
    <col min="16097" max="16097" width="13.140625" style="76" customWidth="1"/>
    <col min="16098" max="16098" width="12" style="76" customWidth="1"/>
    <col min="16099" max="16099" width="12.140625" style="76" customWidth="1"/>
    <col min="16100" max="16100" width="12.28515625" style="76" customWidth="1"/>
    <col min="16101" max="16101" width="12.140625" style="76" customWidth="1"/>
    <col min="16102" max="16102" width="12.5703125" style="76" customWidth="1"/>
    <col min="16103" max="16384" width="9.140625" style="76"/>
  </cols>
  <sheetData>
    <row r="1" spans="1:17" s="6" customFormat="1" x14ac:dyDescent="0.25">
      <c r="A1" s="75"/>
      <c r="B1" s="331"/>
      <c r="I1" s="616" t="s">
        <v>566</v>
      </c>
      <c r="J1" s="616"/>
      <c r="K1" s="616"/>
      <c r="L1" s="616"/>
      <c r="M1" s="616"/>
      <c r="N1" s="616"/>
      <c r="O1" s="616"/>
      <c r="P1" s="616"/>
      <c r="Q1" s="616"/>
    </row>
    <row r="2" spans="1:17" s="6" customFormat="1" ht="61.5" customHeight="1" x14ac:dyDescent="0.25">
      <c r="A2" s="75"/>
      <c r="D2" s="615"/>
      <c r="E2" s="615"/>
      <c r="F2" s="615"/>
      <c r="G2" s="615"/>
      <c r="I2" s="515" t="s">
        <v>690</v>
      </c>
      <c r="J2" s="515"/>
      <c r="K2" s="515"/>
      <c r="L2" s="515"/>
      <c r="M2" s="515"/>
      <c r="N2" s="515"/>
      <c r="O2" s="515"/>
      <c r="P2" s="515"/>
      <c r="Q2" s="515"/>
    </row>
    <row r="3" spans="1:17" s="6" customFormat="1" ht="62.25" customHeight="1" x14ac:dyDescent="0.25">
      <c r="A3" s="597" t="s">
        <v>849</v>
      </c>
      <c r="B3" s="597"/>
      <c r="C3" s="597"/>
      <c r="D3" s="597"/>
      <c r="E3" s="597"/>
      <c r="F3" s="597"/>
      <c r="G3" s="597"/>
      <c r="H3" s="597"/>
      <c r="I3" s="597"/>
      <c r="J3" s="597"/>
      <c r="K3" s="597"/>
      <c r="L3" s="597"/>
      <c r="M3" s="597"/>
      <c r="N3" s="597"/>
      <c r="O3" s="597"/>
      <c r="P3" s="597"/>
      <c r="Q3" s="597"/>
    </row>
    <row r="4" spans="1:17" ht="6.75" customHeight="1" x14ac:dyDescent="0.25">
      <c r="A4" s="76" t="s">
        <v>195</v>
      </c>
      <c r="B4" s="77" t="s">
        <v>195</v>
      </c>
      <c r="C4" s="77"/>
      <c r="D4" s="77"/>
      <c r="E4" s="77"/>
    </row>
    <row r="5" spans="1:17" ht="36.75" customHeight="1" x14ac:dyDescent="0.25">
      <c r="A5" s="408" t="s">
        <v>327</v>
      </c>
      <c r="B5" s="408" t="s">
        <v>328</v>
      </c>
      <c r="C5" s="408" t="s">
        <v>547</v>
      </c>
      <c r="D5" s="408"/>
      <c r="E5" s="408"/>
      <c r="F5" s="409" t="s">
        <v>762</v>
      </c>
      <c r="G5" s="289" t="s">
        <v>761</v>
      </c>
      <c r="H5" s="409" t="s">
        <v>802</v>
      </c>
      <c r="I5" s="289" t="s">
        <v>846</v>
      </c>
      <c r="J5" s="289" t="s">
        <v>846</v>
      </c>
      <c r="K5" s="289" t="s">
        <v>846</v>
      </c>
      <c r="L5" s="289" t="s">
        <v>846</v>
      </c>
      <c r="M5" s="289" t="s">
        <v>846</v>
      </c>
      <c r="N5" s="289" t="s">
        <v>847</v>
      </c>
      <c r="O5" s="289" t="s">
        <v>846</v>
      </c>
      <c r="P5" s="289" t="s">
        <v>846</v>
      </c>
      <c r="Q5" s="289" t="s">
        <v>848</v>
      </c>
    </row>
    <row r="6" spans="1:17" ht="12" customHeight="1" x14ac:dyDescent="0.25">
      <c r="A6" s="50" t="s">
        <v>195</v>
      </c>
      <c r="B6" s="50"/>
      <c r="C6" s="50"/>
      <c r="D6" s="50"/>
      <c r="E6" s="50"/>
      <c r="F6" s="135">
        <v>48920000</v>
      </c>
      <c r="G6" s="219">
        <v>53867200</v>
      </c>
      <c r="H6" s="135">
        <v>48920000</v>
      </c>
      <c r="I6" s="219">
        <v>53867200</v>
      </c>
      <c r="L6" s="216"/>
      <c r="M6" s="216"/>
      <c r="N6" s="216"/>
      <c r="O6" s="216"/>
      <c r="P6" s="216"/>
      <c r="Q6" s="216"/>
    </row>
    <row r="7" spans="1:17" s="412" customFormat="1" x14ac:dyDescent="0.25">
      <c r="A7" s="238" t="s">
        <v>196</v>
      </c>
      <c r="B7" s="410" t="s">
        <v>623</v>
      </c>
      <c r="C7" s="411">
        <f>C8+C14+C20+C28+C31+C42+C52+C58+C48</f>
        <v>52770600</v>
      </c>
      <c r="D7" s="411"/>
      <c r="E7" s="411"/>
      <c r="F7" s="411">
        <f>F8+F14+F20+F28+F31+F42+F52+F58+F48</f>
        <v>0</v>
      </c>
      <c r="G7" s="411">
        <f>G8+G14+G20+G28+G31+G42+G52+G58+G48</f>
        <v>52770600</v>
      </c>
      <c r="H7" s="411">
        <f t="shared" ref="H7:I7" si="0">H8+H14+H20+H28+H31+H42+H52+H58+H48</f>
        <v>0</v>
      </c>
      <c r="I7" s="14">
        <f t="shared" si="0"/>
        <v>52770600</v>
      </c>
      <c r="L7" s="411">
        <f t="shared" ref="L7:Q7" si="1">L8+L14+L20+L28+L31+L42+L52+L58+L48</f>
        <v>56905600</v>
      </c>
      <c r="M7" s="411">
        <f t="shared" si="1"/>
        <v>0</v>
      </c>
      <c r="N7" s="411">
        <f t="shared" si="1"/>
        <v>56905600</v>
      </c>
      <c r="O7" s="411">
        <f t="shared" si="1"/>
        <v>59951400</v>
      </c>
      <c r="P7" s="411">
        <f t="shared" si="1"/>
        <v>0</v>
      </c>
      <c r="Q7" s="411">
        <f t="shared" si="1"/>
        <v>59951400</v>
      </c>
    </row>
    <row r="8" spans="1:17" s="412" customFormat="1" ht="16.5" customHeight="1" x14ac:dyDescent="0.25">
      <c r="A8" s="238" t="s">
        <v>197</v>
      </c>
      <c r="B8" s="79" t="s">
        <v>374</v>
      </c>
      <c r="C8" s="411">
        <f t="shared" ref="C8:I8" si="2">C9</f>
        <v>40140000</v>
      </c>
      <c r="D8" s="411"/>
      <c r="E8" s="411"/>
      <c r="F8" s="411">
        <f t="shared" si="2"/>
        <v>0</v>
      </c>
      <c r="G8" s="411">
        <f t="shared" si="2"/>
        <v>40140000</v>
      </c>
      <c r="H8" s="411">
        <f t="shared" si="2"/>
        <v>0</v>
      </c>
      <c r="I8" s="14">
        <f t="shared" si="2"/>
        <v>40140000</v>
      </c>
      <c r="L8" s="411">
        <f t="shared" ref="L8:N8" si="3">L9</f>
        <v>43242000</v>
      </c>
      <c r="M8" s="411">
        <f t="shared" si="3"/>
        <v>0</v>
      </c>
      <c r="N8" s="411">
        <f t="shared" si="3"/>
        <v>43242000</v>
      </c>
      <c r="O8" s="411">
        <f t="shared" ref="O8:Q8" si="4">O9</f>
        <v>46664000</v>
      </c>
      <c r="P8" s="411">
        <f t="shared" si="4"/>
        <v>0</v>
      </c>
      <c r="Q8" s="411">
        <f t="shared" si="4"/>
        <v>46664000</v>
      </c>
    </row>
    <row r="9" spans="1:17" s="6" customFormat="1" x14ac:dyDescent="0.25">
      <c r="A9" s="236" t="s">
        <v>198</v>
      </c>
      <c r="B9" s="17" t="s">
        <v>199</v>
      </c>
      <c r="C9" s="2">
        <f t="shared" ref="C9:F9" si="5">C10+C11+C12+C13</f>
        <v>40140000</v>
      </c>
      <c r="D9" s="2"/>
      <c r="E9" s="2"/>
      <c r="F9" s="2">
        <f t="shared" si="5"/>
        <v>0</v>
      </c>
      <c r="G9" s="2">
        <f t="shared" ref="G9" si="6">G10+G11+G12+G13</f>
        <v>40140000</v>
      </c>
      <c r="H9" s="2">
        <f t="shared" ref="H9:I9" si="7">H10+H11+H12+H13</f>
        <v>0</v>
      </c>
      <c r="I9" s="2">
        <f t="shared" si="7"/>
        <v>40140000</v>
      </c>
      <c r="L9" s="2">
        <f t="shared" ref="L9:M9" si="8">L10+L11+L12+L13</f>
        <v>43242000</v>
      </c>
      <c r="M9" s="2">
        <f t="shared" si="8"/>
        <v>0</v>
      </c>
      <c r="N9" s="24">
        <f t="shared" ref="N9:N56" si="9">L9+M9</f>
        <v>43242000</v>
      </c>
      <c r="O9" s="2">
        <f t="shared" ref="O9:Q9" si="10">O10+O11+O12+O13</f>
        <v>46664000</v>
      </c>
      <c r="P9" s="2">
        <f t="shared" si="10"/>
        <v>0</v>
      </c>
      <c r="Q9" s="2">
        <f t="shared" si="10"/>
        <v>46664000</v>
      </c>
    </row>
    <row r="10" spans="1:17" s="412" customFormat="1" ht="49.5" customHeight="1" x14ac:dyDescent="0.25">
      <c r="A10" s="237" t="s">
        <v>200</v>
      </c>
      <c r="B10" s="73" t="s">
        <v>201</v>
      </c>
      <c r="C10" s="413">
        <v>39610000</v>
      </c>
      <c r="D10" s="413"/>
      <c r="E10" s="413"/>
      <c r="F10" s="413"/>
      <c r="G10" s="24">
        <f t="shared" ref="G10:G89" si="11">C10+F10</f>
        <v>39610000</v>
      </c>
      <c r="H10" s="413"/>
      <c r="I10" s="24">
        <f>G10+H10</f>
        <v>39610000</v>
      </c>
      <c r="L10" s="413">
        <v>42562000</v>
      </c>
      <c r="M10" s="413"/>
      <c r="N10" s="24">
        <f t="shared" si="9"/>
        <v>42562000</v>
      </c>
      <c r="O10" s="413">
        <v>45984000</v>
      </c>
      <c r="P10" s="413"/>
      <c r="Q10" s="24">
        <f t="shared" ref="Q10:Q73" si="12">O10+P10</f>
        <v>45984000</v>
      </c>
    </row>
    <row r="11" spans="1:17" s="412" customFormat="1" ht="76.5" customHeight="1" x14ac:dyDescent="0.25">
      <c r="A11" s="237" t="s">
        <v>202</v>
      </c>
      <c r="B11" s="72" t="s">
        <v>203</v>
      </c>
      <c r="C11" s="413">
        <v>80000</v>
      </c>
      <c r="D11" s="413"/>
      <c r="E11" s="413"/>
      <c r="F11" s="413"/>
      <c r="G11" s="24">
        <f t="shared" si="11"/>
        <v>80000</v>
      </c>
      <c r="H11" s="413"/>
      <c r="I11" s="24">
        <f t="shared" ref="I11:I74" si="13">G11+H11</f>
        <v>80000</v>
      </c>
      <c r="L11" s="413">
        <v>80000</v>
      </c>
      <c r="M11" s="413"/>
      <c r="N11" s="24">
        <f t="shared" si="9"/>
        <v>80000</v>
      </c>
      <c r="O11" s="413">
        <v>80000</v>
      </c>
      <c r="P11" s="413"/>
      <c r="Q11" s="24">
        <f t="shared" si="12"/>
        <v>80000</v>
      </c>
    </row>
    <row r="12" spans="1:17" s="412" customFormat="1" ht="37.5" customHeight="1" x14ac:dyDescent="0.25">
      <c r="A12" s="237" t="s">
        <v>204</v>
      </c>
      <c r="B12" s="73" t="s">
        <v>205</v>
      </c>
      <c r="C12" s="413">
        <v>300000</v>
      </c>
      <c r="D12" s="413"/>
      <c r="E12" s="413"/>
      <c r="F12" s="413"/>
      <c r="G12" s="24">
        <f t="shared" si="11"/>
        <v>300000</v>
      </c>
      <c r="H12" s="413"/>
      <c r="I12" s="24">
        <f t="shared" si="13"/>
        <v>300000</v>
      </c>
      <c r="L12" s="413">
        <v>400000</v>
      </c>
      <c r="M12" s="413"/>
      <c r="N12" s="24">
        <f t="shared" si="9"/>
        <v>400000</v>
      </c>
      <c r="O12" s="413">
        <v>400000</v>
      </c>
      <c r="P12" s="413"/>
      <c r="Q12" s="24">
        <f t="shared" si="12"/>
        <v>400000</v>
      </c>
    </row>
    <row r="13" spans="1:17" s="412" customFormat="1" ht="62.25" customHeight="1" x14ac:dyDescent="0.25">
      <c r="A13" s="237" t="s">
        <v>206</v>
      </c>
      <c r="B13" s="72" t="s">
        <v>207</v>
      </c>
      <c r="C13" s="413">
        <v>150000</v>
      </c>
      <c r="D13" s="413"/>
      <c r="E13" s="413"/>
      <c r="F13" s="413"/>
      <c r="G13" s="24">
        <f t="shared" si="11"/>
        <v>150000</v>
      </c>
      <c r="H13" s="413"/>
      <c r="I13" s="24">
        <f t="shared" si="13"/>
        <v>150000</v>
      </c>
      <c r="L13" s="413">
        <v>200000</v>
      </c>
      <c r="M13" s="413"/>
      <c r="N13" s="24">
        <f t="shared" si="9"/>
        <v>200000</v>
      </c>
      <c r="O13" s="413">
        <v>200000</v>
      </c>
      <c r="P13" s="413"/>
      <c r="Q13" s="24">
        <f t="shared" si="12"/>
        <v>200000</v>
      </c>
    </row>
    <row r="14" spans="1:17" s="412" customFormat="1" ht="23.25" customHeight="1" x14ac:dyDescent="0.25">
      <c r="A14" s="238" t="s">
        <v>624</v>
      </c>
      <c r="B14" s="79" t="s">
        <v>625</v>
      </c>
      <c r="C14" s="411">
        <f t="shared" ref="C14:I14" si="14">C15</f>
        <v>2558000</v>
      </c>
      <c r="D14" s="411"/>
      <c r="E14" s="411"/>
      <c r="F14" s="411">
        <f t="shared" si="14"/>
        <v>0</v>
      </c>
      <c r="G14" s="411">
        <f t="shared" si="14"/>
        <v>2558000</v>
      </c>
      <c r="H14" s="411">
        <f t="shared" si="14"/>
        <v>0</v>
      </c>
      <c r="I14" s="14">
        <f t="shared" si="14"/>
        <v>2558000</v>
      </c>
      <c r="L14" s="411">
        <f t="shared" ref="L14:Q14" si="15">L15</f>
        <v>3185000</v>
      </c>
      <c r="M14" s="411">
        <f t="shared" si="15"/>
        <v>0</v>
      </c>
      <c r="N14" s="411">
        <f t="shared" si="15"/>
        <v>3185000</v>
      </c>
      <c r="O14" s="411">
        <f t="shared" si="15"/>
        <v>2546000</v>
      </c>
      <c r="P14" s="411">
        <f t="shared" si="15"/>
        <v>0</v>
      </c>
      <c r="Q14" s="411">
        <f t="shared" si="15"/>
        <v>2546000</v>
      </c>
    </row>
    <row r="15" spans="1:17" s="412" customFormat="1" ht="23.25" customHeight="1" x14ac:dyDescent="0.25">
      <c r="A15" s="237" t="s">
        <v>626</v>
      </c>
      <c r="B15" s="72" t="s">
        <v>627</v>
      </c>
      <c r="C15" s="414">
        <f t="shared" ref="C15:G15" si="16">C16+C17+C18+C19</f>
        <v>2558000</v>
      </c>
      <c r="D15" s="414"/>
      <c r="E15" s="414"/>
      <c r="F15" s="414">
        <f t="shared" si="16"/>
        <v>0</v>
      </c>
      <c r="G15" s="414">
        <f t="shared" si="16"/>
        <v>2558000</v>
      </c>
      <c r="H15" s="414">
        <f t="shared" ref="H15:I15" si="17">H16+H17+H18+H19</f>
        <v>0</v>
      </c>
      <c r="I15" s="2">
        <f t="shared" si="17"/>
        <v>2558000</v>
      </c>
      <c r="L15" s="414">
        <f t="shared" ref="L15:M15" si="18">L16+L17+L18+L19</f>
        <v>3185000</v>
      </c>
      <c r="M15" s="414">
        <f t="shared" si="18"/>
        <v>0</v>
      </c>
      <c r="N15" s="24">
        <f t="shared" si="9"/>
        <v>3185000</v>
      </c>
      <c r="O15" s="414">
        <f t="shared" ref="O15:P15" si="19">O16+O17+O18+O19</f>
        <v>2546000</v>
      </c>
      <c r="P15" s="414">
        <f t="shared" si="19"/>
        <v>0</v>
      </c>
      <c r="Q15" s="24">
        <f t="shared" si="12"/>
        <v>2546000</v>
      </c>
    </row>
    <row r="16" spans="1:17" s="412" customFormat="1" ht="50.25" customHeight="1" x14ac:dyDescent="0.25">
      <c r="A16" s="237" t="s">
        <v>628</v>
      </c>
      <c r="B16" s="72" t="s">
        <v>629</v>
      </c>
      <c r="C16" s="413">
        <v>822450</v>
      </c>
      <c r="D16" s="413"/>
      <c r="E16" s="413"/>
      <c r="F16" s="413"/>
      <c r="G16" s="24">
        <f t="shared" si="11"/>
        <v>822450</v>
      </c>
      <c r="H16" s="413"/>
      <c r="I16" s="24">
        <f t="shared" si="13"/>
        <v>822450</v>
      </c>
      <c r="L16" s="413">
        <v>1019250</v>
      </c>
      <c r="M16" s="413"/>
      <c r="N16" s="24">
        <f t="shared" si="9"/>
        <v>1019250</v>
      </c>
      <c r="O16" s="413">
        <v>953000</v>
      </c>
      <c r="P16" s="413"/>
      <c r="Q16" s="24">
        <f t="shared" si="12"/>
        <v>953000</v>
      </c>
    </row>
    <row r="17" spans="1:17" s="412" customFormat="1" ht="63" customHeight="1" x14ac:dyDescent="0.25">
      <c r="A17" s="237" t="s">
        <v>630</v>
      </c>
      <c r="B17" s="72" t="s">
        <v>631</v>
      </c>
      <c r="C17" s="413">
        <v>28800</v>
      </c>
      <c r="D17" s="413"/>
      <c r="E17" s="413"/>
      <c r="F17" s="413"/>
      <c r="G17" s="24">
        <f t="shared" si="11"/>
        <v>28800</v>
      </c>
      <c r="H17" s="413"/>
      <c r="I17" s="24">
        <f t="shared" si="13"/>
        <v>28800</v>
      </c>
      <c r="L17" s="413">
        <v>31850</v>
      </c>
      <c r="M17" s="413"/>
      <c r="N17" s="24">
        <f t="shared" si="9"/>
        <v>31850</v>
      </c>
      <c r="O17" s="413">
        <v>29600</v>
      </c>
      <c r="P17" s="413"/>
      <c r="Q17" s="24">
        <f t="shared" si="12"/>
        <v>29600</v>
      </c>
    </row>
    <row r="18" spans="1:17" s="412" customFormat="1" ht="48" customHeight="1" x14ac:dyDescent="0.25">
      <c r="A18" s="237" t="s">
        <v>632</v>
      </c>
      <c r="B18" s="72" t="s">
        <v>633</v>
      </c>
      <c r="C18" s="413">
        <v>1671650</v>
      </c>
      <c r="D18" s="413"/>
      <c r="E18" s="413"/>
      <c r="F18" s="413"/>
      <c r="G18" s="24">
        <f t="shared" si="11"/>
        <v>1671650</v>
      </c>
      <c r="H18" s="413"/>
      <c r="I18" s="24">
        <f t="shared" si="13"/>
        <v>1671650</v>
      </c>
      <c r="L18" s="413">
        <v>2102200</v>
      </c>
      <c r="M18" s="413"/>
      <c r="N18" s="24">
        <f t="shared" si="9"/>
        <v>2102200</v>
      </c>
      <c r="O18" s="413">
        <v>1534600</v>
      </c>
      <c r="P18" s="413"/>
      <c r="Q18" s="24">
        <f t="shared" si="12"/>
        <v>1534600</v>
      </c>
    </row>
    <row r="19" spans="1:17" s="412" customFormat="1" ht="52.5" customHeight="1" x14ac:dyDescent="0.25">
      <c r="A19" s="237" t="s">
        <v>634</v>
      </c>
      <c r="B19" s="72" t="s">
        <v>635</v>
      </c>
      <c r="C19" s="413">
        <v>35100</v>
      </c>
      <c r="D19" s="413"/>
      <c r="E19" s="413"/>
      <c r="F19" s="413"/>
      <c r="G19" s="24">
        <f t="shared" si="11"/>
        <v>35100</v>
      </c>
      <c r="H19" s="413"/>
      <c r="I19" s="24">
        <f t="shared" si="13"/>
        <v>35100</v>
      </c>
      <c r="L19" s="413">
        <v>31700</v>
      </c>
      <c r="M19" s="413"/>
      <c r="N19" s="24">
        <f t="shared" si="9"/>
        <v>31700</v>
      </c>
      <c r="O19" s="413">
        <v>28800</v>
      </c>
      <c r="P19" s="413"/>
      <c r="Q19" s="24">
        <f t="shared" si="12"/>
        <v>28800</v>
      </c>
    </row>
    <row r="20" spans="1:17" s="412" customFormat="1" ht="14.25" customHeight="1" x14ac:dyDescent="0.25">
      <c r="A20" s="238" t="s">
        <v>208</v>
      </c>
      <c r="B20" s="79" t="s">
        <v>209</v>
      </c>
      <c r="C20" s="411">
        <f xml:space="preserve"> C21+C24+C26</f>
        <v>5933800</v>
      </c>
      <c r="D20" s="411"/>
      <c r="E20" s="411"/>
      <c r="F20" s="411">
        <f xml:space="preserve"> F21+F24+F26</f>
        <v>0</v>
      </c>
      <c r="G20" s="411">
        <f xml:space="preserve"> G21+G24+G26</f>
        <v>5933800</v>
      </c>
      <c r="H20" s="411">
        <f t="shared" ref="H20:I20" si="20" xml:space="preserve"> H21+H24+H26</f>
        <v>0</v>
      </c>
      <c r="I20" s="14">
        <f t="shared" si="20"/>
        <v>5933800</v>
      </c>
      <c r="L20" s="411">
        <f xml:space="preserve"> L21+L24+L26</f>
        <v>6201600</v>
      </c>
      <c r="M20" s="411">
        <f xml:space="preserve"> M21+M24+M26</f>
        <v>0</v>
      </c>
      <c r="N20" s="411">
        <f t="shared" ref="N20:Q20" si="21" xml:space="preserve"> N21+N24+N26</f>
        <v>6201600</v>
      </c>
      <c r="O20" s="411">
        <f t="shared" si="21"/>
        <v>6469400</v>
      </c>
      <c r="P20" s="411">
        <f t="shared" si="21"/>
        <v>0</v>
      </c>
      <c r="Q20" s="411">
        <f t="shared" si="21"/>
        <v>6469400</v>
      </c>
    </row>
    <row r="21" spans="1:17" s="412" customFormat="1" ht="17.25" customHeight="1" x14ac:dyDescent="0.25">
      <c r="A21" s="237" t="s">
        <v>210</v>
      </c>
      <c r="B21" s="73" t="s">
        <v>211</v>
      </c>
      <c r="C21" s="2">
        <f t="shared" ref="C21:F21" si="22">C22+C23</f>
        <v>5778000</v>
      </c>
      <c r="D21" s="2"/>
      <c r="E21" s="2"/>
      <c r="F21" s="2">
        <f t="shared" si="22"/>
        <v>0</v>
      </c>
      <c r="G21" s="2">
        <f t="shared" ref="G21" si="23">G22+G23</f>
        <v>5778000</v>
      </c>
      <c r="H21" s="2">
        <f t="shared" ref="H21:I21" si="24">H22+H23</f>
        <v>0</v>
      </c>
      <c r="I21" s="2">
        <f t="shared" si="24"/>
        <v>5778000</v>
      </c>
      <c r="L21" s="2">
        <f t="shared" ref="L21:M21" si="25">L22+L23</f>
        <v>6038000</v>
      </c>
      <c r="M21" s="2">
        <f t="shared" si="25"/>
        <v>0</v>
      </c>
      <c r="N21" s="24">
        <f t="shared" si="9"/>
        <v>6038000</v>
      </c>
      <c r="O21" s="2">
        <f t="shared" ref="O21:P21" si="26">O22+O23</f>
        <v>6298000</v>
      </c>
      <c r="P21" s="2">
        <f t="shared" si="26"/>
        <v>0</v>
      </c>
      <c r="Q21" s="24">
        <f t="shared" si="12"/>
        <v>6298000</v>
      </c>
    </row>
    <row r="22" spans="1:17" s="412" customFormat="1" ht="17.25" customHeight="1" x14ac:dyDescent="0.25">
      <c r="A22" s="237" t="s">
        <v>212</v>
      </c>
      <c r="B22" s="73" t="s">
        <v>211</v>
      </c>
      <c r="C22" s="413">
        <v>5777000</v>
      </c>
      <c r="D22" s="413"/>
      <c r="E22" s="413"/>
      <c r="F22" s="413"/>
      <c r="G22" s="24">
        <f t="shared" si="11"/>
        <v>5777000</v>
      </c>
      <c r="H22" s="413"/>
      <c r="I22" s="24">
        <f t="shared" si="13"/>
        <v>5777000</v>
      </c>
      <c r="L22" s="413">
        <v>6037000</v>
      </c>
      <c r="M22" s="413"/>
      <c r="N22" s="24">
        <f t="shared" si="9"/>
        <v>6037000</v>
      </c>
      <c r="O22" s="413">
        <v>6297000</v>
      </c>
      <c r="P22" s="413"/>
      <c r="Q22" s="24">
        <f t="shared" si="12"/>
        <v>6297000</v>
      </c>
    </row>
    <row r="23" spans="1:17" s="412" customFormat="1" ht="28.5" customHeight="1" x14ac:dyDescent="0.25">
      <c r="A23" s="237" t="s">
        <v>213</v>
      </c>
      <c r="B23" s="73" t="s">
        <v>214</v>
      </c>
      <c r="C23" s="413">
        <v>1000</v>
      </c>
      <c r="D23" s="413"/>
      <c r="E23" s="413"/>
      <c r="F23" s="413"/>
      <c r="G23" s="24">
        <f t="shared" si="11"/>
        <v>1000</v>
      </c>
      <c r="H23" s="413"/>
      <c r="I23" s="24">
        <f t="shared" si="13"/>
        <v>1000</v>
      </c>
      <c r="L23" s="413">
        <v>1000</v>
      </c>
      <c r="M23" s="413"/>
      <c r="N23" s="24">
        <f t="shared" si="9"/>
        <v>1000</v>
      </c>
      <c r="O23" s="413">
        <v>1000</v>
      </c>
      <c r="P23" s="413"/>
      <c r="Q23" s="24">
        <f t="shared" si="12"/>
        <v>1000</v>
      </c>
    </row>
    <row r="24" spans="1:17" s="412" customFormat="1" ht="13.5" customHeight="1" x14ac:dyDescent="0.25">
      <c r="A24" s="237" t="s">
        <v>215</v>
      </c>
      <c r="B24" s="73" t="s">
        <v>216</v>
      </c>
      <c r="C24" s="413">
        <f>C25</f>
        <v>2800</v>
      </c>
      <c r="D24" s="413"/>
      <c r="E24" s="413"/>
      <c r="F24" s="413">
        <f t="shared" ref="F24:I24" si="27">F25</f>
        <v>0</v>
      </c>
      <c r="G24" s="413">
        <f t="shared" si="27"/>
        <v>2800</v>
      </c>
      <c r="H24" s="413">
        <f t="shared" si="27"/>
        <v>0</v>
      </c>
      <c r="I24" s="2">
        <f t="shared" si="27"/>
        <v>2800</v>
      </c>
      <c r="L24" s="413">
        <f>L25</f>
        <v>3600</v>
      </c>
      <c r="M24" s="413">
        <f t="shared" ref="M24" si="28">M25</f>
        <v>0</v>
      </c>
      <c r="N24" s="24">
        <f t="shared" si="9"/>
        <v>3600</v>
      </c>
      <c r="O24" s="413">
        <f>O25</f>
        <v>4400</v>
      </c>
      <c r="P24" s="413">
        <f t="shared" ref="P24" si="29">P25</f>
        <v>0</v>
      </c>
      <c r="Q24" s="24">
        <f t="shared" si="12"/>
        <v>4400</v>
      </c>
    </row>
    <row r="25" spans="1:17" s="412" customFormat="1" ht="12.75" customHeight="1" x14ac:dyDescent="0.25">
      <c r="A25" s="236" t="s">
        <v>217</v>
      </c>
      <c r="B25" s="383" t="s">
        <v>216</v>
      </c>
      <c r="C25" s="2">
        <v>2800</v>
      </c>
      <c r="D25" s="2"/>
      <c r="E25" s="2"/>
      <c r="F25" s="2"/>
      <c r="G25" s="24">
        <f t="shared" si="11"/>
        <v>2800</v>
      </c>
      <c r="H25" s="2"/>
      <c r="I25" s="24">
        <f t="shared" si="13"/>
        <v>2800</v>
      </c>
      <c r="L25" s="2">
        <v>3600</v>
      </c>
      <c r="M25" s="2"/>
      <c r="N25" s="24">
        <f t="shared" si="9"/>
        <v>3600</v>
      </c>
      <c r="O25" s="2">
        <v>4400</v>
      </c>
      <c r="P25" s="2"/>
      <c r="Q25" s="24">
        <f t="shared" si="12"/>
        <v>4400</v>
      </c>
    </row>
    <row r="26" spans="1:17" s="412" customFormat="1" ht="24.75" customHeight="1" x14ac:dyDescent="0.25">
      <c r="A26" s="236" t="s">
        <v>218</v>
      </c>
      <c r="B26" s="383" t="s">
        <v>219</v>
      </c>
      <c r="C26" s="2">
        <f t="shared" ref="C26:I26" si="30">C27</f>
        <v>153000</v>
      </c>
      <c r="D26" s="2"/>
      <c r="E26" s="2"/>
      <c r="F26" s="2">
        <f t="shared" si="30"/>
        <v>0</v>
      </c>
      <c r="G26" s="2">
        <f t="shared" si="30"/>
        <v>153000</v>
      </c>
      <c r="H26" s="2">
        <f t="shared" si="30"/>
        <v>0</v>
      </c>
      <c r="I26" s="2">
        <f t="shared" si="30"/>
        <v>153000</v>
      </c>
      <c r="L26" s="2">
        <f t="shared" ref="L26:M26" si="31">L27</f>
        <v>160000</v>
      </c>
      <c r="M26" s="2">
        <f t="shared" si="31"/>
        <v>0</v>
      </c>
      <c r="N26" s="24">
        <f t="shared" si="9"/>
        <v>160000</v>
      </c>
      <c r="O26" s="2">
        <f t="shared" ref="O26:P26" si="32">O27</f>
        <v>167000</v>
      </c>
      <c r="P26" s="2">
        <f t="shared" si="32"/>
        <v>0</v>
      </c>
      <c r="Q26" s="24">
        <f t="shared" si="12"/>
        <v>167000</v>
      </c>
    </row>
    <row r="27" spans="1:17" s="412" customFormat="1" ht="25.5" customHeight="1" x14ac:dyDescent="0.25">
      <c r="A27" s="236" t="s">
        <v>220</v>
      </c>
      <c r="B27" s="383" t="s">
        <v>221</v>
      </c>
      <c r="C27" s="413">
        <v>153000</v>
      </c>
      <c r="D27" s="413"/>
      <c r="E27" s="413"/>
      <c r="F27" s="413"/>
      <c r="G27" s="24">
        <f t="shared" si="11"/>
        <v>153000</v>
      </c>
      <c r="H27" s="413"/>
      <c r="I27" s="24">
        <f t="shared" si="13"/>
        <v>153000</v>
      </c>
      <c r="L27" s="413">
        <v>160000</v>
      </c>
      <c r="M27" s="413"/>
      <c r="N27" s="24">
        <f t="shared" si="9"/>
        <v>160000</v>
      </c>
      <c r="O27" s="413">
        <v>167000</v>
      </c>
      <c r="P27" s="413"/>
      <c r="Q27" s="24">
        <f t="shared" si="12"/>
        <v>167000</v>
      </c>
    </row>
    <row r="28" spans="1:17" s="412" customFormat="1" ht="14.25" customHeight="1" x14ac:dyDescent="0.25">
      <c r="A28" s="238" t="s">
        <v>222</v>
      </c>
      <c r="B28" s="79" t="s">
        <v>223</v>
      </c>
      <c r="C28" s="14">
        <f>C29</f>
        <v>600000</v>
      </c>
      <c r="D28" s="14"/>
      <c r="E28" s="14"/>
      <c r="F28" s="14">
        <f t="shared" ref="F28:I28" si="33">F29</f>
        <v>0</v>
      </c>
      <c r="G28" s="14">
        <f t="shared" si="33"/>
        <v>600000</v>
      </c>
      <c r="H28" s="14">
        <f t="shared" si="33"/>
        <v>0</v>
      </c>
      <c r="I28" s="14">
        <f t="shared" si="33"/>
        <v>600000</v>
      </c>
      <c r="L28" s="14">
        <f>L29</f>
        <v>650000</v>
      </c>
      <c r="M28" s="14">
        <f t="shared" ref="M28:Q29" si="34">M29</f>
        <v>0</v>
      </c>
      <c r="N28" s="14">
        <f t="shared" si="34"/>
        <v>650000</v>
      </c>
      <c r="O28" s="14">
        <f t="shared" si="34"/>
        <v>700000</v>
      </c>
      <c r="P28" s="14">
        <f t="shared" si="34"/>
        <v>0</v>
      </c>
      <c r="Q28" s="14">
        <f t="shared" si="34"/>
        <v>700000</v>
      </c>
    </row>
    <row r="29" spans="1:17" s="412" customFormat="1" ht="26.25" customHeight="1" x14ac:dyDescent="0.25">
      <c r="A29" s="237" t="s">
        <v>636</v>
      </c>
      <c r="B29" s="73" t="s">
        <v>224</v>
      </c>
      <c r="C29" s="2">
        <f t="shared" ref="C29:I29" si="35">C30</f>
        <v>600000</v>
      </c>
      <c r="D29" s="2"/>
      <c r="E29" s="2"/>
      <c r="F29" s="2">
        <f t="shared" si="35"/>
        <v>0</v>
      </c>
      <c r="G29" s="2">
        <f t="shared" si="35"/>
        <v>600000</v>
      </c>
      <c r="H29" s="2">
        <f t="shared" si="35"/>
        <v>0</v>
      </c>
      <c r="I29" s="2">
        <f t="shared" si="35"/>
        <v>600000</v>
      </c>
      <c r="L29" s="2">
        <f t="shared" ref="L29" si="36">L30</f>
        <v>650000</v>
      </c>
      <c r="M29" s="2">
        <f t="shared" si="34"/>
        <v>0</v>
      </c>
      <c r="N29" s="24">
        <f t="shared" si="9"/>
        <v>650000</v>
      </c>
      <c r="O29" s="2">
        <f t="shared" ref="O29" si="37">O30</f>
        <v>700000</v>
      </c>
      <c r="P29" s="2">
        <f t="shared" ref="P29" si="38">P30</f>
        <v>0</v>
      </c>
      <c r="Q29" s="24">
        <f t="shared" si="12"/>
        <v>700000</v>
      </c>
    </row>
    <row r="30" spans="1:17" s="412" customFormat="1" ht="36.75" customHeight="1" x14ac:dyDescent="0.25">
      <c r="A30" s="237" t="s">
        <v>225</v>
      </c>
      <c r="B30" s="73" t="s">
        <v>744</v>
      </c>
      <c r="C30" s="413">
        <v>600000</v>
      </c>
      <c r="D30" s="413"/>
      <c r="E30" s="413"/>
      <c r="F30" s="413"/>
      <c r="G30" s="24">
        <f t="shared" si="11"/>
        <v>600000</v>
      </c>
      <c r="H30" s="413"/>
      <c r="I30" s="24">
        <f t="shared" si="13"/>
        <v>600000</v>
      </c>
      <c r="L30" s="413">
        <v>650000</v>
      </c>
      <c r="M30" s="413"/>
      <c r="N30" s="24">
        <f t="shared" si="9"/>
        <v>650000</v>
      </c>
      <c r="O30" s="413">
        <v>700000</v>
      </c>
      <c r="P30" s="413"/>
      <c r="Q30" s="24">
        <f t="shared" si="12"/>
        <v>700000</v>
      </c>
    </row>
    <row r="31" spans="1:17" s="412" customFormat="1" ht="38.25" customHeight="1" x14ac:dyDescent="0.25">
      <c r="A31" s="238" t="s">
        <v>226</v>
      </c>
      <c r="B31" s="79" t="s">
        <v>227</v>
      </c>
      <c r="C31" s="415">
        <f>C32+C39</f>
        <v>2209800</v>
      </c>
      <c r="D31" s="415"/>
      <c r="E31" s="415"/>
      <c r="F31" s="415">
        <f>F32+F39</f>
        <v>-10000</v>
      </c>
      <c r="G31" s="415">
        <f>G32+G39</f>
        <v>2199800</v>
      </c>
      <c r="H31" s="415">
        <f t="shared" ref="H31:I31" si="39">H32+H39</f>
        <v>0</v>
      </c>
      <c r="I31" s="82">
        <f t="shared" si="39"/>
        <v>2199800</v>
      </c>
      <c r="L31" s="415">
        <f>L32+L39</f>
        <v>2250000</v>
      </c>
      <c r="M31" s="415">
        <f>M32+M39</f>
        <v>-10000</v>
      </c>
      <c r="N31" s="415">
        <f t="shared" ref="N31:Q31" si="40">N32+N39</f>
        <v>2240000</v>
      </c>
      <c r="O31" s="415">
        <f t="shared" si="40"/>
        <v>2147000</v>
      </c>
      <c r="P31" s="415">
        <f t="shared" si="40"/>
        <v>-10000</v>
      </c>
      <c r="Q31" s="415">
        <f t="shared" si="40"/>
        <v>2137000</v>
      </c>
    </row>
    <row r="32" spans="1:17" s="412" customFormat="1" ht="72.75" customHeight="1" x14ac:dyDescent="0.25">
      <c r="A32" s="237" t="s">
        <v>228</v>
      </c>
      <c r="B32" s="72" t="s">
        <v>637</v>
      </c>
      <c r="C32" s="416">
        <f>C33+C37</f>
        <v>2089800</v>
      </c>
      <c r="D32" s="416"/>
      <c r="E32" s="416"/>
      <c r="F32" s="416">
        <f>F33+F37</f>
        <v>-10000</v>
      </c>
      <c r="G32" s="416">
        <f>G33+G37</f>
        <v>2079800</v>
      </c>
      <c r="H32" s="416">
        <f t="shared" ref="H32:I32" si="41">H33+H37</f>
        <v>0</v>
      </c>
      <c r="I32" s="24">
        <f t="shared" si="41"/>
        <v>2079800</v>
      </c>
      <c r="L32" s="416">
        <f>L33+L37</f>
        <v>2140000</v>
      </c>
      <c r="M32" s="416">
        <f>M33+M37</f>
        <v>-10000</v>
      </c>
      <c r="N32" s="24">
        <f t="shared" si="9"/>
        <v>2130000</v>
      </c>
      <c r="O32" s="416">
        <f>O33+O37</f>
        <v>2147000</v>
      </c>
      <c r="P32" s="416">
        <f>P33+P37</f>
        <v>-10000</v>
      </c>
      <c r="Q32" s="24">
        <f t="shared" si="12"/>
        <v>2137000</v>
      </c>
    </row>
    <row r="33" spans="1:17" s="412" customFormat="1" ht="61.5" customHeight="1" x14ac:dyDescent="0.25">
      <c r="A33" s="237" t="s">
        <v>229</v>
      </c>
      <c r="B33" s="73" t="s">
        <v>230</v>
      </c>
      <c r="C33" s="2">
        <f>C34+C35+C36</f>
        <v>952800</v>
      </c>
      <c r="D33" s="2">
        <f t="shared" ref="D33:G33" si="42">D34+D35+D36</f>
        <v>0</v>
      </c>
      <c r="E33" s="2">
        <f t="shared" si="42"/>
        <v>0</v>
      </c>
      <c r="F33" s="2">
        <f t="shared" si="42"/>
        <v>-10000</v>
      </c>
      <c r="G33" s="2">
        <f t="shared" si="42"/>
        <v>942800</v>
      </c>
      <c r="H33" s="2">
        <f t="shared" ref="H33:I33" si="43">H34+H35+H36</f>
        <v>0</v>
      </c>
      <c r="I33" s="2">
        <f t="shared" si="43"/>
        <v>942800</v>
      </c>
      <c r="L33" s="2">
        <f>L34+L35+L36</f>
        <v>996000</v>
      </c>
      <c r="M33" s="2">
        <f t="shared" ref="M33" si="44">M34+M35+M36</f>
        <v>-10000</v>
      </c>
      <c r="N33" s="24">
        <f t="shared" si="9"/>
        <v>986000</v>
      </c>
      <c r="O33" s="2">
        <f>O34+O35+O36</f>
        <v>996000</v>
      </c>
      <c r="P33" s="2">
        <f t="shared" ref="P33" si="45">P34+P35+P36</f>
        <v>-10000</v>
      </c>
      <c r="Q33" s="24">
        <f t="shared" si="12"/>
        <v>986000</v>
      </c>
    </row>
    <row r="34" spans="1:17" s="412" customFormat="1" ht="76.5" customHeight="1" x14ac:dyDescent="0.25">
      <c r="A34" s="237" t="s">
        <v>231</v>
      </c>
      <c r="B34" s="72" t="s">
        <v>751</v>
      </c>
      <c r="C34" s="2">
        <v>952800</v>
      </c>
      <c r="D34" s="2"/>
      <c r="E34" s="2"/>
      <c r="F34" s="413">
        <v>-952800</v>
      </c>
      <c r="G34" s="24">
        <f t="shared" si="11"/>
        <v>0</v>
      </c>
      <c r="H34" s="413"/>
      <c r="I34" s="24">
        <f t="shared" si="13"/>
        <v>0</v>
      </c>
      <c r="L34" s="2">
        <v>996000</v>
      </c>
      <c r="M34" s="413">
        <v>-996000</v>
      </c>
      <c r="N34" s="24">
        <f t="shared" si="9"/>
        <v>0</v>
      </c>
      <c r="O34" s="2">
        <v>996000</v>
      </c>
      <c r="P34" s="413">
        <v>-996000</v>
      </c>
      <c r="Q34" s="24">
        <f t="shared" si="12"/>
        <v>0</v>
      </c>
    </row>
    <row r="35" spans="1:17" s="412" customFormat="1" ht="60" customHeight="1" x14ac:dyDescent="0.25">
      <c r="A35" s="237" t="s">
        <v>231</v>
      </c>
      <c r="B35" s="72" t="s">
        <v>750</v>
      </c>
      <c r="C35" s="2">
        <v>0</v>
      </c>
      <c r="D35" s="2"/>
      <c r="E35" s="2"/>
      <c r="F35" s="413">
        <v>442800</v>
      </c>
      <c r="G35" s="24">
        <f t="shared" si="11"/>
        <v>442800</v>
      </c>
      <c r="H35" s="413"/>
      <c r="I35" s="24">
        <f t="shared" si="13"/>
        <v>442800</v>
      </c>
      <c r="L35" s="2">
        <v>0</v>
      </c>
      <c r="M35" s="413">
        <v>486000</v>
      </c>
      <c r="N35" s="24">
        <f t="shared" si="9"/>
        <v>486000</v>
      </c>
      <c r="O35" s="2">
        <v>0</v>
      </c>
      <c r="P35" s="413">
        <v>486000</v>
      </c>
      <c r="Q35" s="24">
        <f t="shared" si="12"/>
        <v>486000</v>
      </c>
    </row>
    <row r="36" spans="1:17" s="412" customFormat="1" ht="60" customHeight="1" x14ac:dyDescent="0.25">
      <c r="A36" s="237" t="s">
        <v>752</v>
      </c>
      <c r="B36" s="72" t="s">
        <v>753</v>
      </c>
      <c r="C36" s="2"/>
      <c r="D36" s="2"/>
      <c r="E36" s="2"/>
      <c r="F36" s="413">
        <v>500000</v>
      </c>
      <c r="G36" s="24">
        <f t="shared" si="11"/>
        <v>500000</v>
      </c>
      <c r="H36" s="413"/>
      <c r="I36" s="24">
        <f t="shared" si="13"/>
        <v>500000</v>
      </c>
      <c r="L36" s="2"/>
      <c r="M36" s="413">
        <v>500000</v>
      </c>
      <c r="N36" s="24">
        <f t="shared" si="9"/>
        <v>500000</v>
      </c>
      <c r="O36" s="2"/>
      <c r="P36" s="413">
        <v>500000</v>
      </c>
      <c r="Q36" s="24">
        <f t="shared" si="12"/>
        <v>500000</v>
      </c>
    </row>
    <row r="37" spans="1:17" s="412" customFormat="1" ht="50.25" customHeight="1" x14ac:dyDescent="0.25">
      <c r="A37" s="237" t="s">
        <v>232</v>
      </c>
      <c r="B37" s="72" t="s">
        <v>709</v>
      </c>
      <c r="C37" s="24">
        <f>C38</f>
        <v>1137000</v>
      </c>
      <c r="D37" s="24"/>
      <c r="E37" s="24"/>
      <c r="F37" s="24">
        <f t="shared" ref="F37:I37" si="46">F38</f>
        <v>0</v>
      </c>
      <c r="G37" s="24">
        <f t="shared" si="46"/>
        <v>1137000</v>
      </c>
      <c r="H37" s="24">
        <f t="shared" si="46"/>
        <v>0</v>
      </c>
      <c r="I37" s="24">
        <f t="shared" si="46"/>
        <v>1137000</v>
      </c>
      <c r="L37" s="24">
        <f>L38</f>
        <v>1144000</v>
      </c>
      <c r="M37" s="24">
        <f t="shared" ref="M37" si="47">M38</f>
        <v>0</v>
      </c>
      <c r="N37" s="24">
        <f t="shared" si="9"/>
        <v>1144000</v>
      </c>
      <c r="O37" s="24">
        <f>O38</f>
        <v>1151000</v>
      </c>
      <c r="P37" s="24">
        <f t="shared" ref="P37" si="48">P38</f>
        <v>0</v>
      </c>
      <c r="Q37" s="24">
        <f t="shared" si="12"/>
        <v>1151000</v>
      </c>
    </row>
    <row r="38" spans="1:17" s="412" customFormat="1" ht="46.5" customHeight="1" x14ac:dyDescent="0.25">
      <c r="A38" s="237" t="s">
        <v>450</v>
      </c>
      <c r="B38" s="73" t="s">
        <v>710</v>
      </c>
      <c r="C38" s="413">
        <v>1137000</v>
      </c>
      <c r="D38" s="413"/>
      <c r="E38" s="413"/>
      <c r="F38" s="413"/>
      <c r="G38" s="24">
        <f t="shared" si="11"/>
        <v>1137000</v>
      </c>
      <c r="H38" s="413"/>
      <c r="I38" s="24">
        <f t="shared" si="13"/>
        <v>1137000</v>
      </c>
      <c r="L38" s="413">
        <v>1144000</v>
      </c>
      <c r="M38" s="413"/>
      <c r="N38" s="24">
        <f t="shared" si="9"/>
        <v>1144000</v>
      </c>
      <c r="O38" s="413">
        <v>1151000</v>
      </c>
      <c r="P38" s="413"/>
      <c r="Q38" s="24">
        <f t="shared" si="12"/>
        <v>1151000</v>
      </c>
    </row>
    <row r="39" spans="1:17" s="412" customFormat="1" ht="60.75" customHeight="1" x14ac:dyDescent="0.25">
      <c r="A39" s="236" t="s">
        <v>233</v>
      </c>
      <c r="B39" s="383" t="s">
        <v>234</v>
      </c>
      <c r="C39" s="413">
        <f t="shared" ref="C39:I40" si="49">C40</f>
        <v>120000</v>
      </c>
      <c r="D39" s="413"/>
      <c r="E39" s="413"/>
      <c r="F39" s="413">
        <f t="shared" si="49"/>
        <v>0</v>
      </c>
      <c r="G39" s="413">
        <f t="shared" si="49"/>
        <v>120000</v>
      </c>
      <c r="H39" s="413">
        <f t="shared" si="49"/>
        <v>0</v>
      </c>
      <c r="I39" s="2">
        <f t="shared" si="49"/>
        <v>120000</v>
      </c>
      <c r="L39" s="413">
        <f t="shared" ref="L39:M40" si="50">L40</f>
        <v>110000</v>
      </c>
      <c r="M39" s="413">
        <f t="shared" si="50"/>
        <v>0</v>
      </c>
      <c r="N39" s="24">
        <f t="shared" si="9"/>
        <v>110000</v>
      </c>
      <c r="O39" s="413">
        <f t="shared" ref="O39:P40" si="51">O40</f>
        <v>0</v>
      </c>
      <c r="P39" s="413">
        <f t="shared" si="51"/>
        <v>0</v>
      </c>
      <c r="Q39" s="24">
        <f t="shared" si="12"/>
        <v>0</v>
      </c>
    </row>
    <row r="40" spans="1:17" s="412" customFormat="1" ht="58.5" customHeight="1" x14ac:dyDescent="0.25">
      <c r="A40" s="236" t="s">
        <v>235</v>
      </c>
      <c r="B40" s="383" t="s">
        <v>236</v>
      </c>
      <c r="C40" s="2">
        <f t="shared" si="49"/>
        <v>120000</v>
      </c>
      <c r="D40" s="2"/>
      <c r="E40" s="2"/>
      <c r="F40" s="2">
        <f t="shared" si="49"/>
        <v>0</v>
      </c>
      <c r="G40" s="2">
        <f t="shared" si="49"/>
        <v>120000</v>
      </c>
      <c r="H40" s="2">
        <f t="shared" si="49"/>
        <v>0</v>
      </c>
      <c r="I40" s="2">
        <f t="shared" si="49"/>
        <v>120000</v>
      </c>
      <c r="L40" s="2">
        <f t="shared" si="50"/>
        <v>110000</v>
      </c>
      <c r="M40" s="2">
        <f t="shared" si="50"/>
        <v>0</v>
      </c>
      <c r="N40" s="24">
        <f t="shared" si="9"/>
        <v>110000</v>
      </c>
      <c r="O40" s="2">
        <f t="shared" si="51"/>
        <v>0</v>
      </c>
      <c r="P40" s="2">
        <f t="shared" si="51"/>
        <v>0</v>
      </c>
      <c r="Q40" s="24">
        <f t="shared" si="12"/>
        <v>0</v>
      </c>
    </row>
    <row r="41" spans="1:17" s="412" customFormat="1" ht="62.25" customHeight="1" x14ac:dyDescent="0.25">
      <c r="A41" s="236" t="s">
        <v>237</v>
      </c>
      <c r="B41" s="383" t="s">
        <v>238</v>
      </c>
      <c r="C41" s="2">
        <v>120000</v>
      </c>
      <c r="D41" s="2"/>
      <c r="E41" s="2"/>
      <c r="F41" s="2"/>
      <c r="G41" s="24">
        <f t="shared" si="11"/>
        <v>120000</v>
      </c>
      <c r="H41" s="2"/>
      <c r="I41" s="24">
        <f t="shared" si="13"/>
        <v>120000</v>
      </c>
      <c r="L41" s="2">
        <v>110000</v>
      </c>
      <c r="M41" s="2"/>
      <c r="N41" s="24">
        <f t="shared" si="9"/>
        <v>110000</v>
      </c>
      <c r="O41" s="2">
        <v>0</v>
      </c>
      <c r="P41" s="2"/>
      <c r="Q41" s="24">
        <f t="shared" si="12"/>
        <v>0</v>
      </c>
    </row>
    <row r="42" spans="1:17" s="412" customFormat="1" ht="14.25" customHeight="1" x14ac:dyDescent="0.25">
      <c r="A42" s="238" t="s">
        <v>239</v>
      </c>
      <c r="B42" s="79" t="s">
        <v>240</v>
      </c>
      <c r="C42" s="14">
        <f t="shared" ref="C42:I42" si="52">C43</f>
        <v>506000</v>
      </c>
      <c r="D42" s="14"/>
      <c r="E42" s="14"/>
      <c r="F42" s="14">
        <f t="shared" si="52"/>
        <v>0</v>
      </c>
      <c r="G42" s="14">
        <f t="shared" si="52"/>
        <v>506000</v>
      </c>
      <c r="H42" s="14">
        <f t="shared" si="52"/>
        <v>0</v>
      </c>
      <c r="I42" s="14">
        <f t="shared" si="52"/>
        <v>506000</v>
      </c>
      <c r="L42" s="14">
        <f t="shared" ref="L42:Q42" si="53">L43</f>
        <v>535000</v>
      </c>
      <c r="M42" s="14">
        <f t="shared" si="53"/>
        <v>0</v>
      </c>
      <c r="N42" s="14">
        <f t="shared" si="53"/>
        <v>535000</v>
      </c>
      <c r="O42" s="14">
        <f t="shared" si="53"/>
        <v>566000</v>
      </c>
      <c r="P42" s="14">
        <f t="shared" si="53"/>
        <v>0</v>
      </c>
      <c r="Q42" s="14">
        <f t="shared" si="53"/>
        <v>566000</v>
      </c>
    </row>
    <row r="43" spans="1:17" s="412" customFormat="1" ht="15.75" customHeight="1" x14ac:dyDescent="0.25">
      <c r="A43" s="237" t="s">
        <v>241</v>
      </c>
      <c r="B43" s="73" t="s">
        <v>242</v>
      </c>
      <c r="C43" s="2">
        <f t="shared" ref="C43:F43" si="54">C44+C45+C46+C47</f>
        <v>506000</v>
      </c>
      <c r="D43" s="2"/>
      <c r="E43" s="2"/>
      <c r="F43" s="2">
        <f t="shared" si="54"/>
        <v>0</v>
      </c>
      <c r="G43" s="2">
        <f t="shared" ref="G43" si="55">G44+G45+G46+G47</f>
        <v>506000</v>
      </c>
      <c r="H43" s="2">
        <f t="shared" ref="H43:I43" si="56">H44+H45+H46+H47</f>
        <v>0</v>
      </c>
      <c r="I43" s="2">
        <f t="shared" si="56"/>
        <v>506000</v>
      </c>
      <c r="L43" s="2">
        <f t="shared" ref="L43:M43" si="57">L44+L45+L46+L47</f>
        <v>535000</v>
      </c>
      <c r="M43" s="2">
        <f t="shared" si="57"/>
        <v>0</v>
      </c>
      <c r="N43" s="24">
        <f t="shared" si="9"/>
        <v>535000</v>
      </c>
      <c r="O43" s="2">
        <f t="shared" ref="O43:P43" si="58">O44+O45+O46+O47</f>
        <v>566000</v>
      </c>
      <c r="P43" s="2">
        <f t="shared" si="58"/>
        <v>0</v>
      </c>
      <c r="Q43" s="24">
        <f t="shared" si="12"/>
        <v>566000</v>
      </c>
    </row>
    <row r="44" spans="1:17" s="412" customFormat="1" ht="26.25" customHeight="1" x14ac:dyDescent="0.25">
      <c r="A44" s="237" t="s">
        <v>243</v>
      </c>
      <c r="B44" s="73" t="s">
        <v>244</v>
      </c>
      <c r="C44" s="2">
        <v>28000</v>
      </c>
      <c r="D44" s="2"/>
      <c r="E44" s="2"/>
      <c r="F44" s="414"/>
      <c r="G44" s="24">
        <f t="shared" si="11"/>
        <v>28000</v>
      </c>
      <c r="H44" s="414"/>
      <c r="I44" s="24">
        <f t="shared" si="13"/>
        <v>28000</v>
      </c>
      <c r="L44" s="2">
        <v>30000</v>
      </c>
      <c r="M44" s="414"/>
      <c r="N44" s="24">
        <f t="shared" si="9"/>
        <v>30000</v>
      </c>
      <c r="O44" s="2">
        <v>31000</v>
      </c>
      <c r="P44" s="414"/>
      <c r="Q44" s="24">
        <f t="shared" si="12"/>
        <v>31000</v>
      </c>
    </row>
    <row r="45" spans="1:17" s="412" customFormat="1" ht="13.5" customHeight="1" x14ac:dyDescent="0.25">
      <c r="A45" s="237" t="s">
        <v>245</v>
      </c>
      <c r="B45" s="73" t="s">
        <v>246</v>
      </c>
      <c r="C45" s="2">
        <v>9000</v>
      </c>
      <c r="D45" s="2"/>
      <c r="E45" s="2"/>
      <c r="F45" s="414"/>
      <c r="G45" s="24">
        <f t="shared" si="11"/>
        <v>9000</v>
      </c>
      <c r="H45" s="414"/>
      <c r="I45" s="24">
        <f t="shared" si="13"/>
        <v>9000</v>
      </c>
      <c r="L45" s="2">
        <v>9000</v>
      </c>
      <c r="M45" s="414"/>
      <c r="N45" s="24">
        <f t="shared" si="9"/>
        <v>9000</v>
      </c>
      <c r="O45" s="2">
        <v>10000</v>
      </c>
      <c r="P45" s="414"/>
      <c r="Q45" s="24">
        <f t="shared" si="12"/>
        <v>10000</v>
      </c>
    </row>
    <row r="46" spans="1:17" s="412" customFormat="1" ht="16.5" customHeight="1" x14ac:dyDescent="0.25">
      <c r="A46" s="237" t="s">
        <v>247</v>
      </c>
      <c r="B46" s="73" t="s">
        <v>248</v>
      </c>
      <c r="C46" s="2">
        <v>46000</v>
      </c>
      <c r="D46" s="2"/>
      <c r="E46" s="2"/>
      <c r="F46" s="414"/>
      <c r="G46" s="24">
        <f t="shared" si="11"/>
        <v>46000</v>
      </c>
      <c r="H46" s="414"/>
      <c r="I46" s="24">
        <f t="shared" si="13"/>
        <v>46000</v>
      </c>
      <c r="L46" s="2">
        <v>49000</v>
      </c>
      <c r="M46" s="414"/>
      <c r="N46" s="24">
        <f t="shared" si="9"/>
        <v>49000</v>
      </c>
      <c r="O46" s="2">
        <v>52000</v>
      </c>
      <c r="P46" s="414"/>
      <c r="Q46" s="24">
        <f t="shared" si="12"/>
        <v>52000</v>
      </c>
    </row>
    <row r="47" spans="1:17" s="412" customFormat="1" ht="13.5" customHeight="1" x14ac:dyDescent="0.25">
      <c r="A47" s="237" t="s">
        <v>249</v>
      </c>
      <c r="B47" s="73" t="s">
        <v>250</v>
      </c>
      <c r="C47" s="2">
        <v>423000</v>
      </c>
      <c r="D47" s="2"/>
      <c r="E47" s="2"/>
      <c r="F47" s="414"/>
      <c r="G47" s="24">
        <f t="shared" si="11"/>
        <v>423000</v>
      </c>
      <c r="H47" s="414"/>
      <c r="I47" s="24">
        <f t="shared" si="13"/>
        <v>423000</v>
      </c>
      <c r="L47" s="2">
        <v>447000</v>
      </c>
      <c r="M47" s="414"/>
      <c r="N47" s="24">
        <f t="shared" si="9"/>
        <v>447000</v>
      </c>
      <c r="O47" s="2">
        <v>473000</v>
      </c>
      <c r="P47" s="414"/>
      <c r="Q47" s="24">
        <f t="shared" si="12"/>
        <v>473000</v>
      </c>
    </row>
    <row r="48" spans="1:17" s="412" customFormat="1" ht="27.75" customHeight="1" x14ac:dyDescent="0.25">
      <c r="A48" s="238" t="s">
        <v>251</v>
      </c>
      <c r="B48" s="79" t="s">
        <v>377</v>
      </c>
      <c r="C48" s="82">
        <f t="shared" ref="C48:I48" si="59">C49</f>
        <v>373000</v>
      </c>
      <c r="D48" s="82"/>
      <c r="E48" s="82"/>
      <c r="F48" s="82">
        <f t="shared" si="59"/>
        <v>0</v>
      </c>
      <c r="G48" s="82">
        <f t="shared" si="59"/>
        <v>373000</v>
      </c>
      <c r="H48" s="82">
        <f t="shared" si="59"/>
        <v>0</v>
      </c>
      <c r="I48" s="82">
        <f t="shared" si="59"/>
        <v>373000</v>
      </c>
      <c r="L48" s="82">
        <f t="shared" ref="L48:Q48" si="60">L49</f>
        <v>391000</v>
      </c>
      <c r="M48" s="82">
        <f t="shared" si="60"/>
        <v>0</v>
      </c>
      <c r="N48" s="82">
        <f t="shared" si="60"/>
        <v>391000</v>
      </c>
      <c r="O48" s="82">
        <f t="shared" si="60"/>
        <v>408000</v>
      </c>
      <c r="P48" s="82">
        <f t="shared" si="60"/>
        <v>0</v>
      </c>
      <c r="Q48" s="82">
        <f t="shared" si="60"/>
        <v>408000</v>
      </c>
    </row>
    <row r="49" spans="1:17" s="412" customFormat="1" ht="15.75" customHeight="1" x14ac:dyDescent="0.25">
      <c r="A49" s="237" t="s">
        <v>252</v>
      </c>
      <c r="B49" s="239" t="s">
        <v>253</v>
      </c>
      <c r="C49" s="417">
        <f t="shared" ref="C49:F49" si="61">C51</f>
        <v>373000</v>
      </c>
      <c r="D49" s="417"/>
      <c r="E49" s="417"/>
      <c r="F49" s="417">
        <f t="shared" si="61"/>
        <v>0</v>
      </c>
      <c r="G49" s="417">
        <f t="shared" ref="G49" si="62">G51</f>
        <v>373000</v>
      </c>
      <c r="H49" s="417">
        <f t="shared" ref="H49:I49" si="63">H51</f>
        <v>0</v>
      </c>
      <c r="I49" s="24">
        <f t="shared" si="63"/>
        <v>373000</v>
      </c>
      <c r="L49" s="417">
        <f t="shared" ref="L49:M49" si="64">L51</f>
        <v>391000</v>
      </c>
      <c r="M49" s="417">
        <f t="shared" si="64"/>
        <v>0</v>
      </c>
      <c r="N49" s="24">
        <f t="shared" si="9"/>
        <v>391000</v>
      </c>
      <c r="O49" s="417">
        <f t="shared" ref="O49:P49" si="65">O51</f>
        <v>408000</v>
      </c>
      <c r="P49" s="417">
        <f t="shared" si="65"/>
        <v>0</v>
      </c>
      <c r="Q49" s="24">
        <f t="shared" si="12"/>
        <v>408000</v>
      </c>
    </row>
    <row r="50" spans="1:17" s="412" customFormat="1" ht="15" customHeight="1" x14ac:dyDescent="0.25">
      <c r="A50" s="237" t="s">
        <v>254</v>
      </c>
      <c r="B50" s="73" t="s">
        <v>255</v>
      </c>
      <c r="C50" s="417">
        <f>C51</f>
        <v>373000</v>
      </c>
      <c r="D50" s="417"/>
      <c r="E50" s="417"/>
      <c r="F50" s="417">
        <f t="shared" ref="F50:I50" si="66">F51</f>
        <v>0</v>
      </c>
      <c r="G50" s="417">
        <f t="shared" si="66"/>
        <v>373000</v>
      </c>
      <c r="H50" s="417">
        <f t="shared" si="66"/>
        <v>0</v>
      </c>
      <c r="I50" s="24">
        <f t="shared" si="66"/>
        <v>373000</v>
      </c>
      <c r="L50" s="417">
        <f>L51</f>
        <v>391000</v>
      </c>
      <c r="M50" s="417">
        <f t="shared" ref="M50" si="67">M51</f>
        <v>0</v>
      </c>
      <c r="N50" s="24">
        <f t="shared" si="9"/>
        <v>391000</v>
      </c>
      <c r="O50" s="417">
        <f>O51</f>
        <v>408000</v>
      </c>
      <c r="P50" s="417">
        <f t="shared" ref="P50" si="68">P51</f>
        <v>0</v>
      </c>
      <c r="Q50" s="24">
        <f t="shared" si="12"/>
        <v>408000</v>
      </c>
    </row>
    <row r="51" spans="1:17" s="412" customFormat="1" ht="27" customHeight="1" x14ac:dyDescent="0.25">
      <c r="A51" s="237" t="s">
        <v>256</v>
      </c>
      <c r="B51" s="73" t="s">
        <v>257</v>
      </c>
      <c r="C51" s="416">
        <v>373000</v>
      </c>
      <c r="D51" s="416"/>
      <c r="E51" s="416"/>
      <c r="F51" s="416"/>
      <c r="G51" s="24">
        <f t="shared" si="11"/>
        <v>373000</v>
      </c>
      <c r="H51" s="416"/>
      <c r="I51" s="24">
        <f t="shared" si="13"/>
        <v>373000</v>
      </c>
      <c r="L51" s="416">
        <v>391000</v>
      </c>
      <c r="M51" s="416"/>
      <c r="N51" s="24">
        <f t="shared" si="9"/>
        <v>391000</v>
      </c>
      <c r="O51" s="416">
        <v>408000</v>
      </c>
      <c r="P51" s="416"/>
      <c r="Q51" s="24">
        <f t="shared" si="12"/>
        <v>408000</v>
      </c>
    </row>
    <row r="52" spans="1:17" s="412" customFormat="1" ht="27" customHeight="1" x14ac:dyDescent="0.25">
      <c r="A52" s="238" t="s">
        <v>258</v>
      </c>
      <c r="B52" s="79" t="s">
        <v>259</v>
      </c>
      <c r="C52" s="415">
        <f>C53</f>
        <v>200000</v>
      </c>
      <c r="D52" s="415"/>
      <c r="E52" s="415"/>
      <c r="F52" s="415">
        <f t="shared" ref="F52:I52" si="69">F53</f>
        <v>10000</v>
      </c>
      <c r="G52" s="415">
        <f t="shared" si="69"/>
        <v>210000</v>
      </c>
      <c r="H52" s="415">
        <f t="shared" si="69"/>
        <v>0</v>
      </c>
      <c r="I52" s="82">
        <f t="shared" si="69"/>
        <v>210000</v>
      </c>
      <c r="L52" s="415">
        <f>L53</f>
        <v>200000</v>
      </c>
      <c r="M52" s="415">
        <f t="shared" ref="M52:Q53" si="70">M53</f>
        <v>10000</v>
      </c>
      <c r="N52" s="415">
        <f t="shared" si="70"/>
        <v>210000</v>
      </c>
      <c r="O52" s="415">
        <f t="shared" si="70"/>
        <v>200000</v>
      </c>
      <c r="P52" s="415">
        <f t="shared" si="70"/>
        <v>10000</v>
      </c>
      <c r="Q52" s="415">
        <f t="shared" si="70"/>
        <v>210000</v>
      </c>
    </row>
    <row r="53" spans="1:17" s="412" customFormat="1" ht="48.75" customHeight="1" x14ac:dyDescent="0.25">
      <c r="A53" s="237" t="s">
        <v>260</v>
      </c>
      <c r="B53" s="73" t="s">
        <v>638</v>
      </c>
      <c r="C53" s="413">
        <f t="shared" ref="C53:G53" si="71">C54</f>
        <v>200000</v>
      </c>
      <c r="D53" s="413"/>
      <c r="E53" s="413"/>
      <c r="F53" s="413">
        <f t="shared" si="71"/>
        <v>10000</v>
      </c>
      <c r="G53" s="413">
        <f t="shared" si="71"/>
        <v>210000</v>
      </c>
      <c r="H53" s="413"/>
      <c r="I53" s="24">
        <f t="shared" si="13"/>
        <v>210000</v>
      </c>
      <c r="L53" s="413">
        <f t="shared" ref="L53" si="72">L54</f>
        <v>200000</v>
      </c>
      <c r="M53" s="413">
        <f t="shared" si="70"/>
        <v>10000</v>
      </c>
      <c r="N53" s="24">
        <f t="shared" si="9"/>
        <v>210000</v>
      </c>
      <c r="O53" s="413">
        <f t="shared" ref="O53" si="73">O54</f>
        <v>200000</v>
      </c>
      <c r="P53" s="413">
        <f t="shared" ref="P53" si="74">P54</f>
        <v>10000</v>
      </c>
      <c r="Q53" s="24">
        <f t="shared" si="12"/>
        <v>210000</v>
      </c>
    </row>
    <row r="54" spans="1:17" s="412" customFormat="1" ht="28.5" customHeight="1" x14ac:dyDescent="0.25">
      <c r="A54" s="237" t="s">
        <v>261</v>
      </c>
      <c r="B54" s="73" t="s">
        <v>262</v>
      </c>
      <c r="C54" s="413">
        <f>C55+C56+C57</f>
        <v>200000</v>
      </c>
      <c r="D54" s="413">
        <f t="shared" ref="D54:G54" si="75">D55+D56+D57</f>
        <v>0</v>
      </c>
      <c r="E54" s="413">
        <f t="shared" si="75"/>
        <v>0</v>
      </c>
      <c r="F54" s="413">
        <f t="shared" si="75"/>
        <v>10000</v>
      </c>
      <c r="G54" s="413">
        <f t="shared" si="75"/>
        <v>210000</v>
      </c>
      <c r="H54" s="413"/>
      <c r="I54" s="24">
        <f t="shared" si="13"/>
        <v>210000</v>
      </c>
      <c r="L54" s="413">
        <f>L55+L56+L57</f>
        <v>200000</v>
      </c>
      <c r="M54" s="413">
        <f t="shared" ref="M54" si="76">M55+M56+M57</f>
        <v>10000</v>
      </c>
      <c r="N54" s="24">
        <f t="shared" si="9"/>
        <v>210000</v>
      </c>
      <c r="O54" s="413">
        <f>O55+O56+O57</f>
        <v>200000</v>
      </c>
      <c r="P54" s="413">
        <f t="shared" ref="P54" si="77">P55+P56+P57</f>
        <v>10000</v>
      </c>
      <c r="Q54" s="24">
        <f t="shared" si="12"/>
        <v>210000</v>
      </c>
    </row>
    <row r="55" spans="1:17" s="412" customFormat="1" ht="37.5" customHeight="1" x14ac:dyDescent="0.25">
      <c r="A55" s="237" t="s">
        <v>263</v>
      </c>
      <c r="B55" s="73" t="s">
        <v>755</v>
      </c>
      <c r="C55" s="413">
        <v>200000</v>
      </c>
      <c r="D55" s="413"/>
      <c r="E55" s="413"/>
      <c r="F55" s="413">
        <v>-200000</v>
      </c>
      <c r="G55" s="24">
        <f t="shared" si="11"/>
        <v>0</v>
      </c>
      <c r="H55" s="413"/>
      <c r="I55" s="24">
        <f t="shared" si="13"/>
        <v>0</v>
      </c>
      <c r="L55" s="413">
        <v>200000</v>
      </c>
      <c r="M55" s="413">
        <v>-200000</v>
      </c>
      <c r="N55" s="24">
        <f t="shared" si="9"/>
        <v>0</v>
      </c>
      <c r="O55" s="413">
        <v>200000</v>
      </c>
      <c r="P55" s="413">
        <v>-200000</v>
      </c>
      <c r="Q55" s="24">
        <f t="shared" si="12"/>
        <v>0</v>
      </c>
    </row>
    <row r="56" spans="1:17" s="412" customFormat="1" ht="37.5" customHeight="1" x14ac:dyDescent="0.25">
      <c r="A56" s="237" t="s">
        <v>263</v>
      </c>
      <c r="B56" s="73" t="s">
        <v>754</v>
      </c>
      <c r="C56" s="413"/>
      <c r="D56" s="413"/>
      <c r="E56" s="413"/>
      <c r="F56" s="413">
        <v>10000</v>
      </c>
      <c r="G56" s="24">
        <f t="shared" si="11"/>
        <v>10000</v>
      </c>
      <c r="H56" s="413"/>
      <c r="I56" s="24">
        <f t="shared" si="13"/>
        <v>10000</v>
      </c>
      <c r="L56" s="413"/>
      <c r="M56" s="413">
        <v>10000</v>
      </c>
      <c r="N56" s="24">
        <f t="shared" si="9"/>
        <v>10000</v>
      </c>
      <c r="O56" s="413"/>
      <c r="P56" s="413">
        <v>10000</v>
      </c>
      <c r="Q56" s="24">
        <f t="shared" si="12"/>
        <v>10000</v>
      </c>
    </row>
    <row r="57" spans="1:17" s="412" customFormat="1" ht="37.5" customHeight="1" x14ac:dyDescent="0.25">
      <c r="A57" s="237" t="s">
        <v>756</v>
      </c>
      <c r="B57" s="73" t="s">
        <v>757</v>
      </c>
      <c r="C57" s="413"/>
      <c r="D57" s="413"/>
      <c r="E57" s="413"/>
      <c r="F57" s="413">
        <v>200000</v>
      </c>
      <c r="G57" s="24">
        <f t="shared" si="11"/>
        <v>200000</v>
      </c>
      <c r="H57" s="413"/>
      <c r="I57" s="24">
        <f t="shared" si="13"/>
        <v>200000</v>
      </c>
      <c r="L57" s="413"/>
      <c r="M57" s="413">
        <v>200000</v>
      </c>
      <c r="N57" s="24">
        <f>L57+M57</f>
        <v>200000</v>
      </c>
      <c r="O57" s="413"/>
      <c r="P57" s="413">
        <v>200000</v>
      </c>
      <c r="Q57" s="24">
        <f t="shared" si="12"/>
        <v>200000</v>
      </c>
    </row>
    <row r="58" spans="1:17" s="412" customFormat="1" ht="17.25" customHeight="1" x14ac:dyDescent="0.25">
      <c r="A58" s="238" t="s">
        <v>264</v>
      </c>
      <c r="B58" s="79" t="s">
        <v>265</v>
      </c>
      <c r="C58" s="14">
        <f>C59+C61+C62+C64+C65+C66</f>
        <v>250000</v>
      </c>
      <c r="D58" s="14"/>
      <c r="E58" s="14"/>
      <c r="F58" s="14">
        <f>F59+F61+F62+F64+F65+F66</f>
        <v>0</v>
      </c>
      <c r="G58" s="14">
        <f>G59+G61+G62+G64+G65+G66</f>
        <v>250000</v>
      </c>
      <c r="H58" s="14">
        <f t="shared" ref="H58:I58" si="78">H59+H61+H62+H64+H65+H66</f>
        <v>0</v>
      </c>
      <c r="I58" s="14">
        <f t="shared" si="78"/>
        <v>250000</v>
      </c>
      <c r="L58" s="14">
        <f>L59+L61+L62+L64+L65+L66</f>
        <v>251000</v>
      </c>
      <c r="M58" s="14">
        <f>M59+M61+M62+M64+M65+M66</f>
        <v>0</v>
      </c>
      <c r="N58" s="14">
        <f t="shared" ref="N58:Q58" si="79">N59+N61+N62+N64+N65+N66</f>
        <v>251000</v>
      </c>
      <c r="O58" s="14">
        <f t="shared" si="79"/>
        <v>251000</v>
      </c>
      <c r="P58" s="14">
        <f t="shared" si="79"/>
        <v>0</v>
      </c>
      <c r="Q58" s="14">
        <f t="shared" si="79"/>
        <v>251000</v>
      </c>
    </row>
    <row r="59" spans="1:17" s="412" customFormat="1" ht="23.25" customHeight="1" x14ac:dyDescent="0.25">
      <c r="A59" s="237" t="s">
        <v>266</v>
      </c>
      <c r="B59" s="73" t="s">
        <v>267</v>
      </c>
      <c r="C59" s="413">
        <f>C60</f>
        <v>4000</v>
      </c>
      <c r="D59" s="413"/>
      <c r="E59" s="413"/>
      <c r="F59" s="413">
        <f t="shared" ref="F59:I59" si="80">F60</f>
        <v>0</v>
      </c>
      <c r="G59" s="413">
        <f t="shared" si="80"/>
        <v>4000</v>
      </c>
      <c r="H59" s="413">
        <f t="shared" si="80"/>
        <v>0</v>
      </c>
      <c r="I59" s="2">
        <f t="shared" si="80"/>
        <v>4000</v>
      </c>
      <c r="L59" s="413">
        <f>L60</f>
        <v>4000</v>
      </c>
      <c r="M59" s="413">
        <f t="shared" ref="M59" si="81">M60</f>
        <v>0</v>
      </c>
      <c r="N59" s="24">
        <f t="shared" ref="N59:N118" si="82">L59+M59</f>
        <v>4000</v>
      </c>
      <c r="O59" s="413">
        <f>O60</f>
        <v>4000</v>
      </c>
      <c r="P59" s="413">
        <f t="shared" ref="P59" si="83">P60</f>
        <v>0</v>
      </c>
      <c r="Q59" s="24">
        <f t="shared" si="12"/>
        <v>4000</v>
      </c>
    </row>
    <row r="60" spans="1:17" s="412" customFormat="1" ht="51.75" customHeight="1" x14ac:dyDescent="0.25">
      <c r="A60" s="237" t="s">
        <v>268</v>
      </c>
      <c r="B60" s="73" t="s">
        <v>711</v>
      </c>
      <c r="C60" s="413">
        <v>4000</v>
      </c>
      <c r="D60" s="413"/>
      <c r="E60" s="413"/>
      <c r="F60" s="413"/>
      <c r="G60" s="24">
        <f t="shared" si="11"/>
        <v>4000</v>
      </c>
      <c r="H60" s="413"/>
      <c r="I60" s="24">
        <f t="shared" si="13"/>
        <v>4000</v>
      </c>
      <c r="L60" s="413">
        <v>4000</v>
      </c>
      <c r="M60" s="413"/>
      <c r="N60" s="24">
        <f t="shared" si="82"/>
        <v>4000</v>
      </c>
      <c r="O60" s="413">
        <v>4000</v>
      </c>
      <c r="P60" s="413"/>
      <c r="Q60" s="24">
        <f t="shared" si="12"/>
        <v>4000</v>
      </c>
    </row>
    <row r="61" spans="1:17" s="412" customFormat="1" ht="50.25" customHeight="1" x14ac:dyDescent="0.25">
      <c r="A61" s="237" t="s">
        <v>269</v>
      </c>
      <c r="B61" s="73" t="s">
        <v>375</v>
      </c>
      <c r="C61" s="416">
        <v>25000</v>
      </c>
      <c r="D61" s="416"/>
      <c r="E61" s="416"/>
      <c r="F61" s="416"/>
      <c r="G61" s="24">
        <f t="shared" si="11"/>
        <v>25000</v>
      </c>
      <c r="H61" s="416"/>
      <c r="I61" s="24">
        <f t="shared" si="13"/>
        <v>25000</v>
      </c>
      <c r="L61" s="416">
        <v>25000</v>
      </c>
      <c r="M61" s="416"/>
      <c r="N61" s="24">
        <f t="shared" si="82"/>
        <v>25000</v>
      </c>
      <c r="O61" s="416">
        <v>25000</v>
      </c>
      <c r="P61" s="416"/>
      <c r="Q61" s="24">
        <f t="shared" si="12"/>
        <v>25000</v>
      </c>
    </row>
    <row r="62" spans="1:17" s="412" customFormat="1" ht="73.5" customHeight="1" x14ac:dyDescent="0.25">
      <c r="A62" s="237" t="s">
        <v>639</v>
      </c>
      <c r="B62" s="72" t="s">
        <v>640</v>
      </c>
      <c r="C62" s="413">
        <f t="shared" ref="C62:I62" si="84">C63</f>
        <v>6000</v>
      </c>
      <c r="D62" s="413"/>
      <c r="E62" s="413"/>
      <c r="F62" s="413">
        <f t="shared" si="84"/>
        <v>0</v>
      </c>
      <c r="G62" s="413">
        <f t="shared" si="84"/>
        <v>6000</v>
      </c>
      <c r="H62" s="413">
        <f t="shared" si="84"/>
        <v>0</v>
      </c>
      <c r="I62" s="2">
        <f t="shared" si="84"/>
        <v>6000</v>
      </c>
      <c r="L62" s="413">
        <f t="shared" ref="L62:M62" si="85">L63</f>
        <v>7000</v>
      </c>
      <c r="M62" s="413">
        <f t="shared" si="85"/>
        <v>0</v>
      </c>
      <c r="N62" s="24">
        <f t="shared" si="82"/>
        <v>7000</v>
      </c>
      <c r="O62" s="413">
        <f t="shared" ref="O62:P62" si="86">O63</f>
        <v>7000</v>
      </c>
      <c r="P62" s="413">
        <f t="shared" si="86"/>
        <v>0</v>
      </c>
      <c r="Q62" s="24">
        <f t="shared" si="12"/>
        <v>7000</v>
      </c>
    </row>
    <row r="63" spans="1:17" s="412" customFormat="1" ht="26.25" customHeight="1" x14ac:dyDescent="0.25">
      <c r="A63" s="237" t="s">
        <v>270</v>
      </c>
      <c r="B63" s="73" t="s">
        <v>641</v>
      </c>
      <c r="C63" s="413">
        <v>6000</v>
      </c>
      <c r="D63" s="413"/>
      <c r="E63" s="413"/>
      <c r="F63" s="413"/>
      <c r="G63" s="24">
        <f t="shared" si="11"/>
        <v>6000</v>
      </c>
      <c r="H63" s="413"/>
      <c r="I63" s="24">
        <f t="shared" si="13"/>
        <v>6000</v>
      </c>
      <c r="L63" s="413">
        <v>7000</v>
      </c>
      <c r="M63" s="413"/>
      <c r="N63" s="24">
        <f t="shared" si="82"/>
        <v>7000</v>
      </c>
      <c r="O63" s="413">
        <v>7000</v>
      </c>
      <c r="P63" s="413"/>
      <c r="Q63" s="24">
        <f t="shared" si="12"/>
        <v>7000</v>
      </c>
    </row>
    <row r="64" spans="1:17" s="412" customFormat="1" ht="38.25" customHeight="1" x14ac:dyDescent="0.25">
      <c r="A64" s="237" t="s">
        <v>642</v>
      </c>
      <c r="B64" s="73" t="s">
        <v>271</v>
      </c>
      <c r="C64" s="413">
        <v>60000</v>
      </c>
      <c r="D64" s="413"/>
      <c r="E64" s="413"/>
      <c r="F64" s="413"/>
      <c r="G64" s="24">
        <f t="shared" si="11"/>
        <v>60000</v>
      </c>
      <c r="H64" s="413"/>
      <c r="I64" s="24">
        <f t="shared" si="13"/>
        <v>60000</v>
      </c>
      <c r="L64" s="413">
        <v>60000</v>
      </c>
      <c r="M64" s="413"/>
      <c r="N64" s="24">
        <f t="shared" si="82"/>
        <v>60000</v>
      </c>
      <c r="O64" s="413">
        <v>60000</v>
      </c>
      <c r="P64" s="413"/>
      <c r="Q64" s="24">
        <f t="shared" si="12"/>
        <v>60000</v>
      </c>
    </row>
    <row r="65" spans="1:17" s="412" customFormat="1" ht="37.5" customHeight="1" x14ac:dyDescent="0.25">
      <c r="A65" s="237" t="s">
        <v>272</v>
      </c>
      <c r="B65" s="73" t="s">
        <v>712</v>
      </c>
      <c r="C65" s="414">
        <v>20000</v>
      </c>
      <c r="D65" s="414"/>
      <c r="E65" s="414"/>
      <c r="F65" s="414"/>
      <c r="G65" s="24">
        <f t="shared" si="11"/>
        <v>20000</v>
      </c>
      <c r="H65" s="414"/>
      <c r="I65" s="24">
        <f t="shared" si="13"/>
        <v>20000</v>
      </c>
      <c r="L65" s="414">
        <v>20000</v>
      </c>
      <c r="M65" s="414"/>
      <c r="N65" s="24">
        <f t="shared" si="82"/>
        <v>20000</v>
      </c>
      <c r="O65" s="414">
        <v>20000</v>
      </c>
      <c r="P65" s="414"/>
      <c r="Q65" s="24">
        <f t="shared" si="12"/>
        <v>20000</v>
      </c>
    </row>
    <row r="66" spans="1:17" s="412" customFormat="1" ht="22.5" customHeight="1" x14ac:dyDescent="0.25">
      <c r="A66" s="238" t="s">
        <v>273</v>
      </c>
      <c r="B66" s="79" t="s">
        <v>274</v>
      </c>
      <c r="C66" s="418">
        <f t="shared" ref="C66:I66" si="87">C67</f>
        <v>135000</v>
      </c>
      <c r="D66" s="418"/>
      <c r="E66" s="418"/>
      <c r="F66" s="418">
        <f t="shared" si="87"/>
        <v>0</v>
      </c>
      <c r="G66" s="418">
        <f t="shared" si="87"/>
        <v>135000</v>
      </c>
      <c r="H66" s="418">
        <f t="shared" si="87"/>
        <v>0</v>
      </c>
      <c r="I66" s="82">
        <f t="shared" si="87"/>
        <v>135000</v>
      </c>
      <c r="L66" s="418">
        <f t="shared" ref="L66:Q66" si="88">L67</f>
        <v>135000</v>
      </c>
      <c r="M66" s="418">
        <f t="shared" si="88"/>
        <v>0</v>
      </c>
      <c r="N66" s="418">
        <f t="shared" si="88"/>
        <v>135000</v>
      </c>
      <c r="O66" s="418">
        <f t="shared" si="88"/>
        <v>135000</v>
      </c>
      <c r="P66" s="418">
        <f t="shared" si="88"/>
        <v>0</v>
      </c>
      <c r="Q66" s="418">
        <f t="shared" si="88"/>
        <v>135000</v>
      </c>
    </row>
    <row r="67" spans="1:17" s="412" customFormat="1" ht="22.5" customHeight="1" x14ac:dyDescent="0.25">
      <c r="A67" s="237" t="s">
        <v>643</v>
      </c>
      <c r="B67" s="73" t="s">
        <v>644</v>
      </c>
      <c r="C67" s="417">
        <v>135000</v>
      </c>
      <c r="D67" s="417"/>
      <c r="E67" s="417"/>
      <c r="F67" s="417"/>
      <c r="G67" s="24">
        <f t="shared" si="11"/>
        <v>135000</v>
      </c>
      <c r="H67" s="417"/>
      <c r="I67" s="24">
        <f t="shared" si="13"/>
        <v>135000</v>
      </c>
      <c r="L67" s="417">
        <v>135000</v>
      </c>
      <c r="M67" s="417"/>
      <c r="N67" s="24">
        <f t="shared" si="82"/>
        <v>135000</v>
      </c>
      <c r="O67" s="417">
        <v>135000</v>
      </c>
      <c r="P67" s="417"/>
      <c r="Q67" s="24">
        <f t="shared" si="12"/>
        <v>135000</v>
      </c>
    </row>
    <row r="68" spans="1:17" s="78" customFormat="1" ht="18.75" customHeight="1" x14ac:dyDescent="0.25">
      <c r="A68" s="18" t="s">
        <v>275</v>
      </c>
      <c r="B68" s="394" t="s">
        <v>276</v>
      </c>
      <c r="C68" s="82">
        <f>C69</f>
        <v>181475833</v>
      </c>
      <c r="D68" s="82"/>
      <c r="E68" s="82"/>
      <c r="F68" s="82">
        <f>F69</f>
        <v>4802500</v>
      </c>
      <c r="G68" s="82">
        <f>G69</f>
        <v>186278333</v>
      </c>
      <c r="H68" s="82">
        <f t="shared" ref="H68:I68" si="89">H69</f>
        <v>-4115019</v>
      </c>
      <c r="I68" s="82">
        <f t="shared" si="89"/>
        <v>182163314</v>
      </c>
      <c r="L68" s="82">
        <f>L69</f>
        <v>173917680</v>
      </c>
      <c r="M68" s="82">
        <f>M69</f>
        <v>-5599900</v>
      </c>
      <c r="N68" s="82">
        <f t="shared" ref="N68:Q68" si="90">N69</f>
        <v>168317780</v>
      </c>
      <c r="O68" s="82">
        <f t="shared" si="90"/>
        <v>169396673</v>
      </c>
      <c r="P68" s="82">
        <f t="shared" si="90"/>
        <v>-5153400</v>
      </c>
      <c r="Q68" s="82">
        <f t="shared" si="90"/>
        <v>164243273</v>
      </c>
    </row>
    <row r="69" spans="1:17" ht="26.25" customHeight="1" x14ac:dyDescent="0.25">
      <c r="A69" s="289" t="s">
        <v>277</v>
      </c>
      <c r="B69" s="383" t="s">
        <v>278</v>
      </c>
      <c r="C69" s="24">
        <f t="shared" ref="C69:I69" si="91">C70+C75+C87+C114</f>
        <v>181475833</v>
      </c>
      <c r="D69" s="24">
        <f t="shared" si="91"/>
        <v>0</v>
      </c>
      <c r="E69" s="24">
        <f t="shared" si="91"/>
        <v>0</v>
      </c>
      <c r="F69" s="24">
        <f t="shared" si="91"/>
        <v>4802500</v>
      </c>
      <c r="G69" s="24">
        <f t="shared" si="91"/>
        <v>186278333</v>
      </c>
      <c r="H69" s="24">
        <f t="shared" si="91"/>
        <v>-4115019</v>
      </c>
      <c r="I69" s="24">
        <f t="shared" si="91"/>
        <v>182163314</v>
      </c>
      <c r="L69" s="24">
        <f t="shared" ref="L69:Q69" si="92">L70+L75+L87+L114</f>
        <v>173917680</v>
      </c>
      <c r="M69" s="24">
        <f t="shared" si="92"/>
        <v>-5599900</v>
      </c>
      <c r="N69" s="24">
        <f t="shared" si="92"/>
        <v>168317780</v>
      </c>
      <c r="O69" s="24">
        <f t="shared" si="92"/>
        <v>169396673</v>
      </c>
      <c r="P69" s="24">
        <f t="shared" si="92"/>
        <v>-5153400</v>
      </c>
      <c r="Q69" s="24">
        <f t="shared" si="92"/>
        <v>164243273</v>
      </c>
    </row>
    <row r="70" spans="1:17" s="78" customFormat="1" ht="14.25" customHeight="1" x14ac:dyDescent="0.25">
      <c r="A70" s="18" t="s">
        <v>279</v>
      </c>
      <c r="B70" s="394" t="s">
        <v>280</v>
      </c>
      <c r="C70" s="82">
        <f>C71+C73</f>
        <v>42807000</v>
      </c>
      <c r="D70" s="82"/>
      <c r="E70" s="82"/>
      <c r="F70" s="82">
        <f>F71+F73</f>
        <v>0</v>
      </c>
      <c r="G70" s="82">
        <f>G71+G73</f>
        <v>42807000</v>
      </c>
      <c r="H70" s="82">
        <f t="shared" ref="H70:I70" si="93">H71+H73</f>
        <v>-4080700</v>
      </c>
      <c r="I70" s="82">
        <f t="shared" si="93"/>
        <v>38726300</v>
      </c>
      <c r="L70" s="82">
        <f>L71+L73</f>
        <v>43210000</v>
      </c>
      <c r="M70" s="82">
        <f>M71+M73</f>
        <v>-4321000</v>
      </c>
      <c r="N70" s="82">
        <f t="shared" ref="N70:Q70" si="94">N71+N73</f>
        <v>38889000</v>
      </c>
      <c r="O70" s="82">
        <f t="shared" si="94"/>
        <v>42695000</v>
      </c>
      <c r="P70" s="82">
        <f t="shared" si="94"/>
        <v>-4269500</v>
      </c>
      <c r="Q70" s="82">
        <f t="shared" si="94"/>
        <v>38425500</v>
      </c>
    </row>
    <row r="71" spans="1:17" ht="16.5" customHeight="1" x14ac:dyDescent="0.25">
      <c r="A71" s="289" t="s">
        <v>281</v>
      </c>
      <c r="B71" s="383" t="s">
        <v>282</v>
      </c>
      <c r="C71" s="24">
        <f>C72</f>
        <v>25898000</v>
      </c>
      <c r="D71" s="24"/>
      <c r="E71" s="24"/>
      <c r="F71" s="24">
        <f>F72</f>
        <v>0</v>
      </c>
      <c r="G71" s="24">
        <f>G72</f>
        <v>25898000</v>
      </c>
      <c r="H71" s="24">
        <f t="shared" ref="H71:I71" si="95">H72</f>
        <v>-2589800</v>
      </c>
      <c r="I71" s="24">
        <f t="shared" si="95"/>
        <v>23308200</v>
      </c>
      <c r="L71" s="24">
        <f>L72</f>
        <v>29582000</v>
      </c>
      <c r="M71" s="24">
        <f>M72</f>
        <v>-2958200</v>
      </c>
      <c r="N71" s="24">
        <f t="shared" si="82"/>
        <v>26623800</v>
      </c>
      <c r="O71" s="24">
        <f>O72</f>
        <v>34165000</v>
      </c>
      <c r="P71" s="24">
        <f>P72</f>
        <v>-3416500</v>
      </c>
      <c r="Q71" s="24">
        <f t="shared" si="12"/>
        <v>30748500</v>
      </c>
    </row>
    <row r="72" spans="1:17" ht="27" customHeight="1" x14ac:dyDescent="0.25">
      <c r="A72" s="289" t="s">
        <v>283</v>
      </c>
      <c r="B72" s="383" t="s">
        <v>284</v>
      </c>
      <c r="C72" s="24">
        <v>25898000</v>
      </c>
      <c r="D72" s="24"/>
      <c r="E72" s="24"/>
      <c r="F72" s="24"/>
      <c r="G72" s="24">
        <f t="shared" si="11"/>
        <v>25898000</v>
      </c>
      <c r="H72" s="24">
        <v>-2589800</v>
      </c>
      <c r="I72" s="24">
        <f t="shared" si="13"/>
        <v>23308200</v>
      </c>
      <c r="L72" s="24">
        <v>29582000</v>
      </c>
      <c r="M72" s="24">
        <v>-2958200</v>
      </c>
      <c r="N72" s="24">
        <f t="shared" si="82"/>
        <v>26623800</v>
      </c>
      <c r="O72" s="24">
        <v>34165000</v>
      </c>
      <c r="P72" s="24">
        <v>-3416500</v>
      </c>
      <c r="Q72" s="24">
        <f t="shared" si="12"/>
        <v>30748500</v>
      </c>
    </row>
    <row r="73" spans="1:17" ht="24.75" customHeight="1" x14ac:dyDescent="0.25">
      <c r="A73" s="289" t="s">
        <v>285</v>
      </c>
      <c r="B73" s="383" t="s">
        <v>286</v>
      </c>
      <c r="C73" s="24">
        <f>C74</f>
        <v>16909000</v>
      </c>
      <c r="D73" s="24"/>
      <c r="E73" s="24"/>
      <c r="F73" s="24">
        <f>F74</f>
        <v>0</v>
      </c>
      <c r="G73" s="24">
        <f>G74</f>
        <v>16909000</v>
      </c>
      <c r="H73" s="24">
        <f t="shared" ref="H73:I73" si="96">H74</f>
        <v>-1490900</v>
      </c>
      <c r="I73" s="24">
        <f t="shared" si="96"/>
        <v>15418100</v>
      </c>
      <c r="L73" s="24">
        <f>L74</f>
        <v>13628000</v>
      </c>
      <c r="M73" s="24">
        <f>M74</f>
        <v>-1362800</v>
      </c>
      <c r="N73" s="24">
        <f t="shared" si="82"/>
        <v>12265200</v>
      </c>
      <c r="O73" s="24">
        <f>O74</f>
        <v>8530000</v>
      </c>
      <c r="P73" s="24">
        <f>P74</f>
        <v>-853000</v>
      </c>
      <c r="Q73" s="24">
        <f t="shared" si="12"/>
        <v>7677000</v>
      </c>
    </row>
    <row r="74" spans="1:17" ht="24.75" customHeight="1" x14ac:dyDescent="0.25">
      <c r="A74" s="289" t="s">
        <v>287</v>
      </c>
      <c r="B74" s="383" t="s">
        <v>288</v>
      </c>
      <c r="C74" s="24">
        <v>16909000</v>
      </c>
      <c r="D74" s="24"/>
      <c r="E74" s="24"/>
      <c r="F74" s="24"/>
      <c r="G74" s="24">
        <f t="shared" si="11"/>
        <v>16909000</v>
      </c>
      <c r="H74" s="24">
        <f>-1690900+200000</f>
        <v>-1490900</v>
      </c>
      <c r="I74" s="24">
        <f t="shared" si="13"/>
        <v>15418100</v>
      </c>
      <c r="L74" s="24">
        <v>13628000</v>
      </c>
      <c r="M74" s="24">
        <v>-1362800</v>
      </c>
      <c r="N74" s="24">
        <f t="shared" si="82"/>
        <v>12265200</v>
      </c>
      <c r="O74" s="24">
        <v>8530000</v>
      </c>
      <c r="P74" s="24">
        <f>-853000</f>
        <v>-853000</v>
      </c>
      <c r="Q74" s="24">
        <f t="shared" ref="Q74:Q117" si="97">O74+P74</f>
        <v>7677000</v>
      </c>
    </row>
    <row r="75" spans="1:17" ht="29.25" customHeight="1" x14ac:dyDescent="0.25">
      <c r="A75" s="406" t="s">
        <v>766</v>
      </c>
      <c r="B75" s="407" t="s">
        <v>767</v>
      </c>
      <c r="C75" s="82">
        <f>C80</f>
        <v>0</v>
      </c>
      <c r="D75" s="82">
        <f t="shared" ref="D75:F75" si="98">D80</f>
        <v>0</v>
      </c>
      <c r="E75" s="82">
        <f t="shared" si="98"/>
        <v>0</v>
      </c>
      <c r="F75" s="82">
        <f t="shared" si="98"/>
        <v>4802500</v>
      </c>
      <c r="G75" s="82">
        <f>G80+G84</f>
        <v>4802500</v>
      </c>
      <c r="H75" s="82">
        <f t="shared" ref="H75:I75" si="99">H80+H84</f>
        <v>808050</v>
      </c>
      <c r="I75" s="82">
        <f t="shared" si="99"/>
        <v>5610550</v>
      </c>
      <c r="L75" s="82">
        <f>L80</f>
        <v>0</v>
      </c>
      <c r="M75" s="82">
        <f t="shared" ref="M75:Q75" si="100">M80</f>
        <v>0</v>
      </c>
      <c r="N75" s="82">
        <f t="shared" si="100"/>
        <v>0</v>
      </c>
      <c r="O75" s="82">
        <f t="shared" si="100"/>
        <v>0</v>
      </c>
      <c r="P75" s="82">
        <f t="shared" si="100"/>
        <v>0</v>
      </c>
      <c r="Q75" s="82">
        <f t="shared" si="100"/>
        <v>0</v>
      </c>
    </row>
    <row r="76" spans="1:17" ht="24.75" hidden="1" customHeight="1" x14ac:dyDescent="0.25">
      <c r="A76" s="385" t="s">
        <v>768</v>
      </c>
      <c r="B76" s="395" t="s">
        <v>769</v>
      </c>
      <c r="C76" s="24"/>
      <c r="D76" s="24"/>
      <c r="E76" s="24"/>
      <c r="F76" s="24"/>
      <c r="G76" s="24"/>
      <c r="H76" s="24"/>
      <c r="I76" s="24"/>
      <c r="L76" s="24"/>
      <c r="M76" s="24"/>
      <c r="N76" s="24">
        <f t="shared" si="82"/>
        <v>0</v>
      </c>
      <c r="O76" s="24"/>
      <c r="P76" s="24"/>
      <c r="Q76" s="24">
        <f t="shared" si="97"/>
        <v>0</v>
      </c>
    </row>
    <row r="77" spans="1:17" ht="24.75" hidden="1" customHeight="1" x14ac:dyDescent="0.25">
      <c r="A77" s="385" t="s">
        <v>486</v>
      </c>
      <c r="B77" s="395" t="s">
        <v>770</v>
      </c>
      <c r="C77" s="24"/>
      <c r="D77" s="24"/>
      <c r="E77" s="24"/>
      <c r="F77" s="24"/>
      <c r="G77" s="24"/>
      <c r="H77" s="24"/>
      <c r="I77" s="24"/>
      <c r="L77" s="24"/>
      <c r="M77" s="24"/>
      <c r="N77" s="24">
        <f t="shared" si="82"/>
        <v>0</v>
      </c>
      <c r="O77" s="24"/>
      <c r="P77" s="24"/>
      <c r="Q77" s="24">
        <f t="shared" si="97"/>
        <v>0</v>
      </c>
    </row>
    <row r="78" spans="1:17" ht="24.75" hidden="1" customHeight="1" x14ac:dyDescent="0.25">
      <c r="A78" s="385" t="s">
        <v>771</v>
      </c>
      <c r="B78" s="395" t="s">
        <v>772</v>
      </c>
      <c r="C78" s="24"/>
      <c r="D78" s="24"/>
      <c r="E78" s="24"/>
      <c r="F78" s="24"/>
      <c r="G78" s="24"/>
      <c r="H78" s="24"/>
      <c r="I78" s="24"/>
      <c r="L78" s="24"/>
      <c r="M78" s="24"/>
      <c r="N78" s="24">
        <f t="shared" si="82"/>
        <v>0</v>
      </c>
      <c r="O78" s="24"/>
      <c r="P78" s="24"/>
      <c r="Q78" s="24">
        <f t="shared" si="97"/>
        <v>0</v>
      </c>
    </row>
    <row r="79" spans="1:17" ht="24.75" hidden="1" customHeight="1" x14ac:dyDescent="0.25">
      <c r="A79" s="385" t="s">
        <v>488</v>
      </c>
      <c r="B79" s="395" t="s">
        <v>489</v>
      </c>
      <c r="C79" s="24"/>
      <c r="D79" s="24"/>
      <c r="E79" s="24"/>
      <c r="F79" s="24"/>
      <c r="G79" s="24"/>
      <c r="H79" s="24"/>
      <c r="I79" s="24"/>
      <c r="L79" s="24"/>
      <c r="M79" s="24"/>
      <c r="N79" s="24">
        <f t="shared" si="82"/>
        <v>0</v>
      </c>
      <c r="O79" s="24"/>
      <c r="P79" s="24"/>
      <c r="Q79" s="24">
        <f t="shared" si="97"/>
        <v>0</v>
      </c>
    </row>
    <row r="80" spans="1:17" ht="42" customHeight="1" x14ac:dyDescent="0.25">
      <c r="A80" s="385" t="s">
        <v>773</v>
      </c>
      <c r="B80" s="395" t="s">
        <v>774</v>
      </c>
      <c r="C80" s="24">
        <f>C81</f>
        <v>0</v>
      </c>
      <c r="D80" s="24">
        <f t="shared" ref="D80:I80" si="101">D81</f>
        <v>0</v>
      </c>
      <c r="E80" s="24">
        <f t="shared" si="101"/>
        <v>0</v>
      </c>
      <c r="F80" s="24">
        <f t="shared" si="101"/>
        <v>4802500</v>
      </c>
      <c r="G80" s="24">
        <f t="shared" si="101"/>
        <v>4802500</v>
      </c>
      <c r="H80" s="24">
        <f t="shared" si="101"/>
        <v>0</v>
      </c>
      <c r="I80" s="24">
        <f t="shared" si="101"/>
        <v>4802500</v>
      </c>
      <c r="L80" s="24">
        <f>L81</f>
        <v>0</v>
      </c>
      <c r="M80" s="24">
        <f t="shared" ref="M80" si="102">M81</f>
        <v>0</v>
      </c>
      <c r="N80" s="24">
        <f t="shared" si="82"/>
        <v>0</v>
      </c>
      <c r="O80" s="24">
        <f>O81</f>
        <v>0</v>
      </c>
      <c r="P80" s="24">
        <f t="shared" ref="P80" si="103">P81</f>
        <v>0</v>
      </c>
      <c r="Q80" s="24">
        <f t="shared" si="97"/>
        <v>0</v>
      </c>
    </row>
    <row r="81" spans="1:17" ht="38.25" customHeight="1" x14ac:dyDescent="0.25">
      <c r="A81" s="385" t="s">
        <v>490</v>
      </c>
      <c r="B81" s="395" t="s">
        <v>775</v>
      </c>
      <c r="C81" s="24">
        <f>C82+C83</f>
        <v>0</v>
      </c>
      <c r="D81" s="24">
        <f t="shared" ref="D81:G81" si="104">D82+D83</f>
        <v>0</v>
      </c>
      <c r="E81" s="24">
        <f t="shared" si="104"/>
        <v>0</v>
      </c>
      <c r="F81" s="24">
        <f t="shared" si="104"/>
        <v>4802500</v>
      </c>
      <c r="G81" s="24">
        <f t="shared" si="104"/>
        <v>4802500</v>
      </c>
      <c r="H81" s="24">
        <f t="shared" ref="H81:I81" si="105">H82+H83</f>
        <v>0</v>
      </c>
      <c r="I81" s="24">
        <f t="shared" si="105"/>
        <v>4802500</v>
      </c>
      <c r="L81" s="24">
        <f>L82+L83</f>
        <v>0</v>
      </c>
      <c r="M81" s="24">
        <f t="shared" ref="M81" si="106">M82+M83</f>
        <v>0</v>
      </c>
      <c r="N81" s="24">
        <f t="shared" si="82"/>
        <v>0</v>
      </c>
      <c r="O81" s="24">
        <f>O82+O83</f>
        <v>0</v>
      </c>
      <c r="P81" s="24">
        <f t="shared" ref="P81" si="107">P82+P83</f>
        <v>0</v>
      </c>
      <c r="Q81" s="24">
        <f t="shared" si="97"/>
        <v>0</v>
      </c>
    </row>
    <row r="82" spans="1:17" ht="18" customHeight="1" x14ac:dyDescent="0.25">
      <c r="A82" s="385"/>
      <c r="B82" s="395" t="s">
        <v>776</v>
      </c>
      <c r="C82" s="24"/>
      <c r="D82" s="24"/>
      <c r="E82" s="24"/>
      <c r="F82" s="24">
        <v>4517500</v>
      </c>
      <c r="G82" s="24">
        <f>C82+F82</f>
        <v>4517500</v>
      </c>
      <c r="H82" s="24"/>
      <c r="I82" s="24">
        <f t="shared" ref="I82:I118" si="108">G82+H82</f>
        <v>4517500</v>
      </c>
      <c r="L82" s="24"/>
      <c r="M82" s="24"/>
      <c r="N82" s="24">
        <f t="shared" si="82"/>
        <v>0</v>
      </c>
      <c r="O82" s="24"/>
      <c r="P82" s="24"/>
      <c r="Q82" s="24">
        <f t="shared" si="97"/>
        <v>0</v>
      </c>
    </row>
    <row r="83" spans="1:17" ht="29.25" customHeight="1" x14ac:dyDescent="0.25">
      <c r="A83" s="385"/>
      <c r="B83" s="395" t="s">
        <v>777</v>
      </c>
      <c r="C83" s="24"/>
      <c r="D83" s="24"/>
      <c r="E83" s="24"/>
      <c r="F83" s="24">
        <v>285000</v>
      </c>
      <c r="G83" s="24">
        <f>C83+F83</f>
        <v>285000</v>
      </c>
      <c r="H83" s="24"/>
      <c r="I83" s="24">
        <f t="shared" si="108"/>
        <v>285000</v>
      </c>
      <c r="L83" s="24"/>
      <c r="M83" s="24"/>
      <c r="N83" s="24">
        <f t="shared" si="82"/>
        <v>0</v>
      </c>
      <c r="O83" s="24"/>
      <c r="P83" s="24"/>
      <c r="Q83" s="24">
        <f t="shared" si="97"/>
        <v>0</v>
      </c>
    </row>
    <row r="84" spans="1:17" ht="16.5" customHeight="1" x14ac:dyDescent="0.25">
      <c r="A84" s="289" t="s">
        <v>804</v>
      </c>
      <c r="B84" s="429" t="s">
        <v>805</v>
      </c>
      <c r="C84" s="24"/>
      <c r="D84" s="24"/>
      <c r="E84" s="24"/>
      <c r="F84" s="24"/>
      <c r="G84" s="24">
        <f>G85</f>
        <v>0</v>
      </c>
      <c r="H84" s="24">
        <f t="shared" ref="H84:I85" si="109">H85</f>
        <v>808050</v>
      </c>
      <c r="I84" s="24">
        <f t="shared" si="109"/>
        <v>808050</v>
      </c>
      <c r="L84" s="24"/>
      <c r="M84" s="24"/>
      <c r="N84" s="24"/>
      <c r="O84" s="24"/>
      <c r="P84" s="24"/>
      <c r="Q84" s="24"/>
    </row>
    <row r="85" spans="1:17" ht="16.5" customHeight="1" x14ac:dyDescent="0.25">
      <c r="A85" s="289" t="s">
        <v>494</v>
      </c>
      <c r="B85" s="429" t="s">
        <v>495</v>
      </c>
      <c r="C85" s="24"/>
      <c r="D85" s="24"/>
      <c r="E85" s="24"/>
      <c r="F85" s="24"/>
      <c r="G85" s="24">
        <f>G86</f>
        <v>0</v>
      </c>
      <c r="H85" s="24">
        <f t="shared" si="109"/>
        <v>808050</v>
      </c>
      <c r="I85" s="24">
        <f t="shared" si="109"/>
        <v>808050</v>
      </c>
      <c r="L85" s="24"/>
      <c r="M85" s="24"/>
      <c r="N85" s="24"/>
      <c r="O85" s="24"/>
      <c r="P85" s="24"/>
      <c r="Q85" s="24"/>
    </row>
    <row r="86" spans="1:17" ht="29.25" customHeight="1" x14ac:dyDescent="0.25">
      <c r="A86" s="424"/>
      <c r="B86" s="425" t="s">
        <v>803</v>
      </c>
      <c r="C86" s="24"/>
      <c r="D86" s="24"/>
      <c r="E86" s="24"/>
      <c r="F86" s="24"/>
      <c r="G86" s="24"/>
      <c r="H86" s="24">
        <v>808050</v>
      </c>
      <c r="I86" s="24">
        <f>G86+H86</f>
        <v>808050</v>
      </c>
      <c r="L86" s="24"/>
      <c r="M86" s="24"/>
      <c r="N86" s="24">
        <f t="shared" si="82"/>
        <v>0</v>
      </c>
      <c r="O86" s="24"/>
      <c r="P86" s="24"/>
      <c r="Q86" s="24">
        <f t="shared" si="97"/>
        <v>0</v>
      </c>
    </row>
    <row r="87" spans="1:17" s="78" customFormat="1" ht="24" customHeight="1" x14ac:dyDescent="0.25">
      <c r="A87" s="18" t="s">
        <v>289</v>
      </c>
      <c r="B87" s="394" t="s">
        <v>290</v>
      </c>
      <c r="C87" s="82">
        <f>C88+C90+C92+C94 +C110+C112</f>
        <v>126127131</v>
      </c>
      <c r="D87" s="82"/>
      <c r="E87" s="82"/>
      <c r="F87" s="82">
        <f t="shared" ref="F87" si="110">F88+F90+F92+F94 +F110+F112</f>
        <v>0</v>
      </c>
      <c r="G87" s="82">
        <f t="shared" ref="G87" si="111">G88+G90+G92+G94 +G110+G112</f>
        <v>126127131</v>
      </c>
      <c r="H87" s="82">
        <f t="shared" ref="H87:I87" si="112">H88+H90+H92+H94 +H110+H112</f>
        <v>-802670</v>
      </c>
      <c r="I87" s="82">
        <f t="shared" si="112"/>
        <v>125324461</v>
      </c>
      <c r="L87" s="82">
        <f>L88+L90+L92+L94 +L110+L112</f>
        <v>130273538</v>
      </c>
      <c r="M87" s="82">
        <f t="shared" ref="M87:Q87" si="113">M88+M90+M92+M94 +M110+M112</f>
        <v>-1278900</v>
      </c>
      <c r="N87" s="82">
        <f t="shared" si="113"/>
        <v>128994638</v>
      </c>
      <c r="O87" s="82">
        <f t="shared" si="113"/>
        <v>126286726</v>
      </c>
      <c r="P87" s="82">
        <f t="shared" si="113"/>
        <v>-883900</v>
      </c>
      <c r="Q87" s="82">
        <f t="shared" si="113"/>
        <v>125402826</v>
      </c>
    </row>
    <row r="88" spans="1:17" s="78" customFormat="1" ht="36" customHeight="1" x14ac:dyDescent="0.25">
      <c r="A88" s="289" t="s">
        <v>648</v>
      </c>
      <c r="B88" s="77" t="s">
        <v>646</v>
      </c>
      <c r="C88" s="24">
        <f>C89</f>
        <v>0</v>
      </c>
      <c r="D88" s="24"/>
      <c r="E88" s="24"/>
      <c r="F88" s="24">
        <f t="shared" ref="F88:I88" si="114">F89</f>
        <v>0</v>
      </c>
      <c r="G88" s="24">
        <f t="shared" si="114"/>
        <v>0</v>
      </c>
      <c r="H88" s="24">
        <f t="shared" si="114"/>
        <v>0</v>
      </c>
      <c r="I88" s="24">
        <f t="shared" si="114"/>
        <v>0</v>
      </c>
      <c r="L88" s="24">
        <f>L89</f>
        <v>0</v>
      </c>
      <c r="M88" s="24">
        <f t="shared" ref="M88" si="115">M89</f>
        <v>0</v>
      </c>
      <c r="N88" s="24">
        <f t="shared" si="82"/>
        <v>0</v>
      </c>
      <c r="O88" s="24">
        <f>O89</f>
        <v>5220</v>
      </c>
      <c r="P88" s="24">
        <f t="shared" ref="P88" si="116">P89</f>
        <v>0</v>
      </c>
      <c r="Q88" s="24">
        <f t="shared" si="97"/>
        <v>5220</v>
      </c>
    </row>
    <row r="89" spans="1:17" s="78" customFormat="1" ht="39" customHeight="1" x14ac:dyDescent="0.25">
      <c r="A89" s="76" t="s">
        <v>498</v>
      </c>
      <c r="B89" s="383" t="s">
        <v>647</v>
      </c>
      <c r="C89" s="24"/>
      <c r="D89" s="24"/>
      <c r="E89" s="24"/>
      <c r="F89" s="24"/>
      <c r="G89" s="24">
        <f t="shared" si="11"/>
        <v>0</v>
      </c>
      <c r="H89" s="24"/>
      <c r="I89" s="24">
        <f t="shared" si="108"/>
        <v>0</v>
      </c>
      <c r="L89" s="24"/>
      <c r="M89" s="24"/>
      <c r="N89" s="24">
        <f t="shared" si="82"/>
        <v>0</v>
      </c>
      <c r="O89" s="24">
        <v>5220</v>
      </c>
      <c r="P89" s="24"/>
      <c r="Q89" s="24">
        <f t="shared" si="97"/>
        <v>5220</v>
      </c>
    </row>
    <row r="90" spans="1:17" ht="27.75" customHeight="1" x14ac:dyDescent="0.25">
      <c r="A90" s="289" t="s">
        <v>291</v>
      </c>
      <c r="B90" s="383" t="s">
        <v>292</v>
      </c>
      <c r="C90" s="24">
        <f>C91</f>
        <v>800617</v>
      </c>
      <c r="D90" s="24"/>
      <c r="E90" s="24"/>
      <c r="F90" s="24">
        <f>F91</f>
        <v>0</v>
      </c>
      <c r="G90" s="24">
        <f>G91</f>
        <v>800617</v>
      </c>
      <c r="H90" s="24">
        <f t="shared" ref="H90:I90" si="117">H91</f>
        <v>-74105</v>
      </c>
      <c r="I90" s="24">
        <f t="shared" si="117"/>
        <v>726512</v>
      </c>
      <c r="L90" s="24">
        <f>L91</f>
        <v>810399</v>
      </c>
      <c r="M90" s="24">
        <f>M91</f>
        <v>0</v>
      </c>
      <c r="N90" s="24">
        <f t="shared" si="82"/>
        <v>810399</v>
      </c>
      <c r="O90" s="24">
        <f>O91</f>
        <v>774567</v>
      </c>
      <c r="P90" s="24">
        <f>P91</f>
        <v>0</v>
      </c>
      <c r="Q90" s="24">
        <f t="shared" si="97"/>
        <v>774567</v>
      </c>
    </row>
    <row r="91" spans="1:17" ht="36.75" customHeight="1" x14ac:dyDescent="0.25">
      <c r="A91" s="289" t="s">
        <v>293</v>
      </c>
      <c r="B91" s="383" t="s">
        <v>294</v>
      </c>
      <c r="C91" s="24">
        <v>800617</v>
      </c>
      <c r="D91" s="24"/>
      <c r="E91" s="24"/>
      <c r="F91" s="24"/>
      <c r="G91" s="24">
        <f t="shared" ref="G91:G116" si="118">C91+F91</f>
        <v>800617</v>
      </c>
      <c r="H91" s="24">
        <v>-74105</v>
      </c>
      <c r="I91" s="24">
        <f t="shared" si="108"/>
        <v>726512</v>
      </c>
      <c r="L91" s="24">
        <v>810399</v>
      </c>
      <c r="M91" s="24"/>
      <c r="N91" s="24">
        <f t="shared" si="82"/>
        <v>810399</v>
      </c>
      <c r="O91" s="24">
        <v>774567</v>
      </c>
      <c r="P91" s="24"/>
      <c r="Q91" s="24">
        <f t="shared" si="97"/>
        <v>774567</v>
      </c>
    </row>
    <row r="92" spans="1:17" ht="26.25" customHeight="1" x14ac:dyDescent="0.25">
      <c r="A92" s="289" t="s">
        <v>295</v>
      </c>
      <c r="B92" s="383" t="s">
        <v>296</v>
      </c>
      <c r="C92" s="24">
        <f>C93</f>
        <v>158000</v>
      </c>
      <c r="D92" s="24"/>
      <c r="E92" s="24"/>
      <c r="F92" s="24">
        <f>F93</f>
        <v>0</v>
      </c>
      <c r="G92" s="24">
        <f>G93</f>
        <v>158000</v>
      </c>
      <c r="H92" s="24">
        <f t="shared" ref="H92:I92" si="119">H93</f>
        <v>0</v>
      </c>
      <c r="I92" s="24">
        <f t="shared" si="119"/>
        <v>158000</v>
      </c>
      <c r="L92" s="24">
        <f>L93</f>
        <v>210100</v>
      </c>
      <c r="M92" s="24">
        <f>M93</f>
        <v>0</v>
      </c>
      <c r="N92" s="24">
        <f t="shared" si="82"/>
        <v>210100</v>
      </c>
      <c r="O92" s="24">
        <f>O93</f>
        <v>203900</v>
      </c>
      <c r="P92" s="24">
        <f>P93</f>
        <v>0</v>
      </c>
      <c r="Q92" s="24">
        <f t="shared" si="97"/>
        <v>203900</v>
      </c>
    </row>
    <row r="93" spans="1:17" ht="36.75" customHeight="1" x14ac:dyDescent="0.25">
      <c r="A93" s="289" t="s">
        <v>297</v>
      </c>
      <c r="B93" s="383" t="s">
        <v>298</v>
      </c>
      <c r="C93" s="24">
        <v>158000</v>
      </c>
      <c r="D93" s="24"/>
      <c r="E93" s="24"/>
      <c r="F93" s="24"/>
      <c r="G93" s="24">
        <f t="shared" si="118"/>
        <v>158000</v>
      </c>
      <c r="H93" s="24"/>
      <c r="I93" s="24">
        <f t="shared" si="108"/>
        <v>158000</v>
      </c>
      <c r="L93" s="24">
        <v>210100</v>
      </c>
      <c r="M93" s="24"/>
      <c r="N93" s="24">
        <f t="shared" si="82"/>
        <v>210100</v>
      </c>
      <c r="O93" s="24">
        <v>203900</v>
      </c>
      <c r="P93" s="24"/>
      <c r="Q93" s="24">
        <f t="shared" si="97"/>
        <v>203900</v>
      </c>
    </row>
    <row r="94" spans="1:17" ht="26.25" customHeight="1" x14ac:dyDescent="0.25">
      <c r="A94" s="289" t="s">
        <v>299</v>
      </c>
      <c r="B94" s="383" t="s">
        <v>300</v>
      </c>
      <c r="C94" s="24">
        <f>C95</f>
        <v>116320203</v>
      </c>
      <c r="D94" s="24"/>
      <c r="E94" s="24"/>
      <c r="F94" s="24">
        <f>F95</f>
        <v>0</v>
      </c>
      <c r="G94" s="24">
        <f>G95</f>
        <v>116320203</v>
      </c>
      <c r="H94" s="24">
        <f t="shared" ref="H94:I94" si="120">H95</f>
        <v>-978524</v>
      </c>
      <c r="I94" s="24">
        <f t="shared" si="120"/>
        <v>115341679</v>
      </c>
      <c r="L94" s="24">
        <f>L95</f>
        <v>120594503</v>
      </c>
      <c r="M94" s="24">
        <f>M95</f>
        <v>-1278900</v>
      </c>
      <c r="N94" s="24">
        <f t="shared" si="82"/>
        <v>119315603</v>
      </c>
      <c r="O94" s="24">
        <f>O95</f>
        <v>116644503</v>
      </c>
      <c r="P94" s="24">
        <f>P95</f>
        <v>-883900</v>
      </c>
      <c r="Q94" s="24">
        <f t="shared" si="97"/>
        <v>115760603</v>
      </c>
    </row>
    <row r="95" spans="1:17" ht="26.25" customHeight="1" x14ac:dyDescent="0.25">
      <c r="A95" s="289" t="s">
        <v>301</v>
      </c>
      <c r="B95" s="383" t="s">
        <v>302</v>
      </c>
      <c r="C95" s="24">
        <f>SUM(C96:C109)</f>
        <v>116320203</v>
      </c>
      <c r="D95" s="24"/>
      <c r="E95" s="24"/>
      <c r="F95" s="24">
        <f t="shared" ref="F95" si="121">SUM(F96:F109)</f>
        <v>0</v>
      </c>
      <c r="G95" s="24">
        <f t="shared" ref="G95" si="122">SUM(G96:G109)</f>
        <v>116320203</v>
      </c>
      <c r="H95" s="24">
        <f t="shared" ref="H95:I95" si="123">SUM(H96:H109)</f>
        <v>-978524</v>
      </c>
      <c r="I95" s="24">
        <f t="shared" si="123"/>
        <v>115341679</v>
      </c>
      <c r="L95" s="24">
        <f>SUM(L96:L109)</f>
        <v>120594503</v>
      </c>
      <c r="M95" s="24">
        <f t="shared" ref="M95" si="124">SUM(M96:M109)</f>
        <v>-1278900</v>
      </c>
      <c r="N95" s="24">
        <f t="shared" si="82"/>
        <v>119315603</v>
      </c>
      <c r="O95" s="24">
        <f>SUM(O96:O109)</f>
        <v>116644503</v>
      </c>
      <c r="P95" s="24">
        <f t="shared" ref="P95" si="125">SUM(P96:P109)</f>
        <v>-883900</v>
      </c>
      <c r="Q95" s="24">
        <f t="shared" si="97"/>
        <v>115760603</v>
      </c>
    </row>
    <row r="96" spans="1:17" ht="48.75" customHeight="1" x14ac:dyDescent="0.25">
      <c r="A96" s="289"/>
      <c r="B96" s="383" t="s">
        <v>303</v>
      </c>
      <c r="C96" s="24">
        <v>5882000</v>
      </c>
      <c r="D96" s="24"/>
      <c r="E96" s="24"/>
      <c r="F96" s="24"/>
      <c r="G96" s="24">
        <f t="shared" si="118"/>
        <v>5882000</v>
      </c>
      <c r="H96" s="24"/>
      <c r="I96" s="24">
        <f t="shared" si="108"/>
        <v>5882000</v>
      </c>
      <c r="L96" s="24">
        <v>5882000</v>
      </c>
      <c r="M96" s="24"/>
      <c r="N96" s="24">
        <f t="shared" si="82"/>
        <v>5882000</v>
      </c>
      <c r="O96" s="24">
        <v>5882000</v>
      </c>
      <c r="P96" s="24"/>
      <c r="Q96" s="24">
        <f t="shared" si="97"/>
        <v>5882000</v>
      </c>
    </row>
    <row r="97" spans="1:17" ht="25.5" customHeight="1" x14ac:dyDescent="0.25">
      <c r="A97" s="289"/>
      <c r="B97" s="383" t="s">
        <v>304</v>
      </c>
      <c r="C97" s="24">
        <v>8607000</v>
      </c>
      <c r="D97" s="24"/>
      <c r="E97" s="24"/>
      <c r="F97" s="24"/>
      <c r="G97" s="24">
        <f t="shared" si="118"/>
        <v>8607000</v>
      </c>
      <c r="H97" s="24">
        <v>-860700</v>
      </c>
      <c r="I97" s="24">
        <f t="shared" si="108"/>
        <v>7746300</v>
      </c>
      <c r="K97" s="431"/>
      <c r="L97" s="24">
        <v>12789000</v>
      </c>
      <c r="M97" s="24">
        <v>-1278900</v>
      </c>
      <c r="N97" s="24">
        <f t="shared" si="82"/>
        <v>11510100</v>
      </c>
      <c r="O97" s="24">
        <v>8839000</v>
      </c>
      <c r="P97" s="24">
        <v>-883900</v>
      </c>
      <c r="Q97" s="24">
        <f t="shared" si="97"/>
        <v>7955100</v>
      </c>
    </row>
    <row r="98" spans="1:17" ht="50.25" customHeight="1" x14ac:dyDescent="0.25">
      <c r="A98" s="433" t="s">
        <v>800</v>
      </c>
      <c r="B98" s="383" t="s">
        <v>799</v>
      </c>
      <c r="C98" s="24">
        <v>21495027</v>
      </c>
      <c r="D98" s="24"/>
      <c r="E98" s="24"/>
      <c r="F98" s="24"/>
      <c r="G98" s="24">
        <f t="shared" si="118"/>
        <v>21495027</v>
      </c>
      <c r="H98" s="24"/>
      <c r="I98" s="24">
        <f t="shared" si="108"/>
        <v>21495027</v>
      </c>
      <c r="L98" s="24">
        <v>21495027</v>
      </c>
      <c r="M98" s="24"/>
      <c r="N98" s="24">
        <f t="shared" si="82"/>
        <v>21495027</v>
      </c>
      <c r="O98" s="24">
        <v>21495027</v>
      </c>
      <c r="P98" s="24"/>
      <c r="Q98" s="24">
        <f t="shared" si="97"/>
        <v>21495027</v>
      </c>
    </row>
    <row r="99" spans="1:17" ht="37.5" customHeight="1" x14ac:dyDescent="0.25">
      <c r="A99" s="433" t="s">
        <v>806</v>
      </c>
      <c r="B99" s="432" t="s">
        <v>305</v>
      </c>
      <c r="C99" s="24"/>
      <c r="D99" s="24"/>
      <c r="E99" s="24"/>
      <c r="F99" s="24"/>
      <c r="G99" s="24"/>
      <c r="H99" s="24"/>
      <c r="I99" s="24"/>
      <c r="L99" s="24"/>
      <c r="M99" s="24"/>
      <c r="N99" s="24">
        <f t="shared" si="82"/>
        <v>0</v>
      </c>
      <c r="O99" s="24"/>
      <c r="P99" s="24"/>
      <c r="Q99" s="24">
        <f t="shared" si="97"/>
        <v>0</v>
      </c>
    </row>
    <row r="100" spans="1:17" ht="60" customHeight="1" x14ac:dyDescent="0.25">
      <c r="A100" s="289"/>
      <c r="B100" s="383" t="s">
        <v>306</v>
      </c>
      <c r="C100" s="24">
        <v>104940</v>
      </c>
      <c r="D100" s="24"/>
      <c r="E100" s="24"/>
      <c r="F100" s="24"/>
      <c r="G100" s="24">
        <f t="shared" si="118"/>
        <v>104940</v>
      </c>
      <c r="H100" s="24"/>
      <c r="I100" s="24">
        <f t="shared" si="108"/>
        <v>104940</v>
      </c>
      <c r="L100" s="24">
        <v>104940</v>
      </c>
      <c r="M100" s="24"/>
      <c r="N100" s="24">
        <f t="shared" si="82"/>
        <v>104940</v>
      </c>
      <c r="O100" s="24">
        <v>104940</v>
      </c>
      <c r="P100" s="24"/>
      <c r="Q100" s="24">
        <f t="shared" si="97"/>
        <v>104940</v>
      </c>
    </row>
    <row r="101" spans="1:17" ht="49.5" customHeight="1" x14ac:dyDescent="0.25">
      <c r="A101" s="289"/>
      <c r="B101" s="383" t="s">
        <v>307</v>
      </c>
      <c r="C101" s="24">
        <v>4690260</v>
      </c>
      <c r="D101" s="24"/>
      <c r="E101" s="24"/>
      <c r="F101" s="24"/>
      <c r="G101" s="24">
        <f t="shared" si="118"/>
        <v>4690260</v>
      </c>
      <c r="H101" s="24"/>
      <c r="I101" s="24">
        <f t="shared" si="108"/>
        <v>4690260</v>
      </c>
      <c r="L101" s="24">
        <v>4690260</v>
      </c>
      <c r="M101" s="24"/>
      <c r="N101" s="24">
        <f t="shared" si="82"/>
        <v>4690260</v>
      </c>
      <c r="O101" s="24">
        <v>4690260</v>
      </c>
      <c r="P101" s="24"/>
      <c r="Q101" s="24">
        <f t="shared" si="97"/>
        <v>4690260</v>
      </c>
    </row>
    <row r="102" spans="1:17" ht="39" hidden="1" customHeight="1" x14ac:dyDescent="0.25">
      <c r="A102" s="289"/>
      <c r="B102" s="383" t="s">
        <v>308</v>
      </c>
      <c r="C102" s="24"/>
      <c r="D102" s="24"/>
      <c r="E102" s="24"/>
      <c r="F102" s="24"/>
      <c r="G102" s="24">
        <f t="shared" si="118"/>
        <v>0</v>
      </c>
      <c r="H102" s="24"/>
      <c r="I102" s="24">
        <f t="shared" si="108"/>
        <v>0</v>
      </c>
      <c r="L102" s="24"/>
      <c r="M102" s="24"/>
      <c r="N102" s="24">
        <f t="shared" si="82"/>
        <v>0</v>
      </c>
      <c r="O102" s="24"/>
      <c r="P102" s="24"/>
      <c r="Q102" s="24">
        <f t="shared" si="97"/>
        <v>0</v>
      </c>
    </row>
    <row r="103" spans="1:17" ht="73.5" customHeight="1" x14ac:dyDescent="0.25">
      <c r="A103" s="289"/>
      <c r="B103" s="383" t="s">
        <v>309</v>
      </c>
      <c r="C103" s="24">
        <v>851700</v>
      </c>
      <c r="D103" s="24"/>
      <c r="E103" s="24"/>
      <c r="F103" s="24"/>
      <c r="G103" s="24">
        <f t="shared" si="118"/>
        <v>851700</v>
      </c>
      <c r="H103" s="24">
        <v>-59619</v>
      </c>
      <c r="I103" s="24">
        <f t="shared" si="108"/>
        <v>792081</v>
      </c>
      <c r="L103" s="24">
        <v>851700</v>
      </c>
      <c r="M103" s="24"/>
      <c r="N103" s="24">
        <f t="shared" si="82"/>
        <v>851700</v>
      </c>
      <c r="O103" s="24">
        <v>851700</v>
      </c>
      <c r="P103" s="24"/>
      <c r="Q103" s="24">
        <f t="shared" si="97"/>
        <v>851700</v>
      </c>
    </row>
    <row r="104" spans="1:17" ht="48" customHeight="1" x14ac:dyDescent="0.25">
      <c r="A104" s="289"/>
      <c r="B104" s="383" t="s">
        <v>310</v>
      </c>
      <c r="C104" s="24">
        <v>173500</v>
      </c>
      <c r="D104" s="24"/>
      <c r="E104" s="24"/>
      <c r="F104" s="24"/>
      <c r="G104" s="24">
        <f t="shared" si="118"/>
        <v>173500</v>
      </c>
      <c r="H104" s="24">
        <v>-12145</v>
      </c>
      <c r="I104" s="24">
        <f t="shared" si="108"/>
        <v>161355</v>
      </c>
      <c r="L104" s="24">
        <v>173500</v>
      </c>
      <c r="M104" s="24"/>
      <c r="N104" s="24">
        <f t="shared" si="82"/>
        <v>173500</v>
      </c>
      <c r="O104" s="24">
        <v>173500</v>
      </c>
      <c r="P104" s="24"/>
      <c r="Q104" s="24">
        <f t="shared" si="97"/>
        <v>173500</v>
      </c>
    </row>
    <row r="105" spans="1:17" ht="37.5" customHeight="1" x14ac:dyDescent="0.25">
      <c r="A105" s="289"/>
      <c r="B105" s="383" t="s">
        <v>311</v>
      </c>
      <c r="C105" s="24">
        <v>93000</v>
      </c>
      <c r="D105" s="24"/>
      <c r="E105" s="24"/>
      <c r="F105" s="24"/>
      <c r="G105" s="24">
        <f t="shared" si="118"/>
        <v>93000</v>
      </c>
      <c r="H105" s="24"/>
      <c r="I105" s="24">
        <f t="shared" si="108"/>
        <v>93000</v>
      </c>
      <c r="L105" s="24">
        <v>87000</v>
      </c>
      <c r="M105" s="24"/>
      <c r="N105" s="24">
        <f t="shared" si="82"/>
        <v>87000</v>
      </c>
      <c r="O105" s="24">
        <v>87000</v>
      </c>
      <c r="P105" s="24"/>
      <c r="Q105" s="24">
        <f t="shared" si="97"/>
        <v>87000</v>
      </c>
    </row>
    <row r="106" spans="1:17" ht="75" customHeight="1" x14ac:dyDescent="0.25">
      <c r="A106" s="433" t="s">
        <v>798</v>
      </c>
      <c r="B106" s="427" t="s">
        <v>801</v>
      </c>
      <c r="C106" s="24">
        <v>66777336</v>
      </c>
      <c r="D106" s="24"/>
      <c r="E106" s="24"/>
      <c r="F106" s="24"/>
      <c r="G106" s="24">
        <f t="shared" si="118"/>
        <v>66777336</v>
      </c>
      <c r="H106" s="24"/>
      <c r="I106" s="24">
        <f t="shared" si="108"/>
        <v>66777336</v>
      </c>
      <c r="L106" s="24">
        <v>66777336</v>
      </c>
      <c r="M106" s="24"/>
      <c r="N106" s="24">
        <f t="shared" si="82"/>
        <v>66777336</v>
      </c>
      <c r="O106" s="24">
        <v>66777336</v>
      </c>
      <c r="P106" s="24"/>
      <c r="Q106" s="24">
        <f t="shared" si="97"/>
        <v>66777336</v>
      </c>
    </row>
    <row r="107" spans="1:17" ht="72.75" customHeight="1" x14ac:dyDescent="0.25">
      <c r="A107" s="433" t="s">
        <v>806</v>
      </c>
      <c r="B107" s="432" t="s">
        <v>320</v>
      </c>
      <c r="C107" s="24"/>
      <c r="D107" s="24"/>
      <c r="E107" s="24"/>
      <c r="F107" s="24"/>
      <c r="G107" s="24"/>
      <c r="H107" s="24"/>
      <c r="I107" s="24"/>
      <c r="L107" s="24"/>
      <c r="M107" s="24"/>
      <c r="N107" s="24">
        <f t="shared" si="82"/>
        <v>0</v>
      </c>
      <c r="O107" s="24"/>
      <c r="P107" s="24"/>
      <c r="Q107" s="24">
        <f t="shared" si="97"/>
        <v>0</v>
      </c>
    </row>
    <row r="108" spans="1:17" ht="62.25" customHeight="1" x14ac:dyDescent="0.25">
      <c r="A108" s="289"/>
      <c r="B108" s="383" t="s">
        <v>567</v>
      </c>
      <c r="C108" s="24">
        <v>7634300</v>
      </c>
      <c r="D108" s="24"/>
      <c r="E108" s="24"/>
      <c r="F108" s="24"/>
      <c r="G108" s="24">
        <f t="shared" si="118"/>
        <v>7634300</v>
      </c>
      <c r="H108" s="24">
        <v>-46060</v>
      </c>
      <c r="I108" s="24">
        <f t="shared" si="108"/>
        <v>7588240</v>
      </c>
      <c r="L108" s="24">
        <v>7732600</v>
      </c>
      <c r="M108" s="24"/>
      <c r="N108" s="24">
        <f t="shared" si="82"/>
        <v>7732600</v>
      </c>
      <c r="O108" s="24">
        <v>7732600</v>
      </c>
      <c r="P108" s="24"/>
      <c r="Q108" s="24">
        <f t="shared" si="97"/>
        <v>7732600</v>
      </c>
    </row>
    <row r="109" spans="1:17" ht="51.75" customHeight="1" x14ac:dyDescent="0.25">
      <c r="A109" s="289"/>
      <c r="B109" s="383" t="s">
        <v>645</v>
      </c>
      <c r="C109" s="24">
        <v>11140</v>
      </c>
      <c r="D109" s="24"/>
      <c r="E109" s="24"/>
      <c r="F109" s="24"/>
      <c r="G109" s="24">
        <f t="shared" si="118"/>
        <v>11140</v>
      </c>
      <c r="H109" s="24"/>
      <c r="I109" s="24">
        <f t="shared" si="108"/>
        <v>11140</v>
      </c>
      <c r="L109" s="24">
        <v>11140</v>
      </c>
      <c r="M109" s="24"/>
      <c r="N109" s="24">
        <f t="shared" si="82"/>
        <v>11140</v>
      </c>
      <c r="O109" s="24">
        <v>11140</v>
      </c>
      <c r="P109" s="24"/>
      <c r="Q109" s="24">
        <f t="shared" si="97"/>
        <v>11140</v>
      </c>
    </row>
    <row r="110" spans="1:17" ht="51" customHeight="1" x14ac:dyDescent="0.25">
      <c r="A110" s="289" t="s">
        <v>312</v>
      </c>
      <c r="B110" s="383" t="s">
        <v>313</v>
      </c>
      <c r="C110" s="24">
        <f>C111</f>
        <v>836736</v>
      </c>
      <c r="D110" s="24"/>
      <c r="E110" s="24"/>
      <c r="F110" s="24">
        <f>F111</f>
        <v>0</v>
      </c>
      <c r="G110" s="24">
        <f>G111</f>
        <v>836736</v>
      </c>
      <c r="H110" s="24">
        <f t="shared" ref="H110:I110" si="126">H111</f>
        <v>249959</v>
      </c>
      <c r="I110" s="24">
        <f t="shared" si="126"/>
        <v>1086695</v>
      </c>
      <c r="L110" s="24">
        <f>L111</f>
        <v>836736</v>
      </c>
      <c r="M110" s="24">
        <f>M111</f>
        <v>0</v>
      </c>
      <c r="N110" s="24">
        <f t="shared" si="82"/>
        <v>836736</v>
      </c>
      <c r="O110" s="24">
        <f>O111</f>
        <v>836736</v>
      </c>
      <c r="P110" s="24">
        <f>P111</f>
        <v>0</v>
      </c>
      <c r="Q110" s="24">
        <f t="shared" si="97"/>
        <v>836736</v>
      </c>
    </row>
    <row r="111" spans="1:17" ht="51" customHeight="1" x14ac:dyDescent="0.25">
      <c r="A111" s="289" t="s">
        <v>314</v>
      </c>
      <c r="B111" s="383" t="s">
        <v>315</v>
      </c>
      <c r="C111" s="24">
        <v>836736</v>
      </c>
      <c r="D111" s="24"/>
      <c r="E111" s="24"/>
      <c r="F111" s="24"/>
      <c r="G111" s="24">
        <f t="shared" si="118"/>
        <v>836736</v>
      </c>
      <c r="H111" s="24">
        <v>249959</v>
      </c>
      <c r="I111" s="24">
        <f t="shared" si="108"/>
        <v>1086695</v>
      </c>
      <c r="L111" s="24">
        <v>836736</v>
      </c>
      <c r="M111" s="24"/>
      <c r="N111" s="24">
        <f t="shared" si="82"/>
        <v>836736</v>
      </c>
      <c r="O111" s="24">
        <v>836736</v>
      </c>
      <c r="P111" s="24"/>
      <c r="Q111" s="24">
        <f t="shared" si="97"/>
        <v>836736</v>
      </c>
    </row>
    <row r="112" spans="1:17" ht="51" customHeight="1" x14ac:dyDescent="0.25">
      <c r="A112" s="289" t="s">
        <v>316</v>
      </c>
      <c r="B112" s="383" t="s">
        <v>745</v>
      </c>
      <c r="C112" s="24">
        <f>C113</f>
        <v>8011575</v>
      </c>
      <c r="D112" s="24"/>
      <c r="E112" s="24"/>
      <c r="F112" s="24">
        <f>F113</f>
        <v>0</v>
      </c>
      <c r="G112" s="24">
        <f>G113</f>
        <v>8011575</v>
      </c>
      <c r="H112" s="24">
        <f t="shared" ref="H112:I112" si="127">H113</f>
        <v>0</v>
      </c>
      <c r="I112" s="24">
        <f t="shared" si="127"/>
        <v>8011575</v>
      </c>
      <c r="L112" s="24">
        <f>L113</f>
        <v>7821800</v>
      </c>
      <c r="M112" s="24">
        <f>M113</f>
        <v>0</v>
      </c>
      <c r="N112" s="24">
        <f t="shared" si="82"/>
        <v>7821800</v>
      </c>
      <c r="O112" s="24">
        <f>O113</f>
        <v>7821800</v>
      </c>
      <c r="P112" s="24">
        <f>P113</f>
        <v>0</v>
      </c>
      <c r="Q112" s="24">
        <f t="shared" si="97"/>
        <v>7821800</v>
      </c>
    </row>
    <row r="113" spans="1:17" ht="37.5" customHeight="1" x14ac:dyDescent="0.25">
      <c r="A113" s="289" t="s">
        <v>317</v>
      </c>
      <c r="B113" s="383" t="s">
        <v>743</v>
      </c>
      <c r="C113" s="24">
        <v>8011575</v>
      </c>
      <c r="D113" s="24"/>
      <c r="E113" s="24"/>
      <c r="F113" s="24"/>
      <c r="G113" s="24">
        <f t="shared" si="118"/>
        <v>8011575</v>
      </c>
      <c r="H113" s="24"/>
      <c r="I113" s="24">
        <f t="shared" si="108"/>
        <v>8011575</v>
      </c>
      <c r="L113" s="24">
        <v>7821800</v>
      </c>
      <c r="M113" s="24"/>
      <c r="N113" s="24">
        <f t="shared" si="82"/>
        <v>7821800</v>
      </c>
      <c r="O113" s="24">
        <v>7821800</v>
      </c>
      <c r="P113" s="24"/>
      <c r="Q113" s="24">
        <f t="shared" si="97"/>
        <v>7821800</v>
      </c>
    </row>
    <row r="114" spans="1:17" s="78" customFormat="1" ht="14.25" customHeight="1" x14ac:dyDescent="0.25">
      <c r="A114" s="394" t="s">
        <v>321</v>
      </c>
      <c r="B114" s="394" t="s">
        <v>171</v>
      </c>
      <c r="C114" s="82">
        <f>C115+C117</f>
        <v>12541702</v>
      </c>
      <c r="D114" s="82">
        <f t="shared" ref="D114:G114" si="128">D115+D117</f>
        <v>0</v>
      </c>
      <c r="E114" s="82">
        <f t="shared" si="128"/>
        <v>0</v>
      </c>
      <c r="F114" s="82">
        <f t="shared" si="128"/>
        <v>0</v>
      </c>
      <c r="G114" s="82">
        <f t="shared" si="128"/>
        <v>12541702</v>
      </c>
      <c r="H114" s="82">
        <f t="shared" ref="H114:I114" si="129">H115+H117</f>
        <v>-39699</v>
      </c>
      <c r="I114" s="82">
        <f t="shared" si="129"/>
        <v>12502003</v>
      </c>
      <c r="L114" s="82">
        <f>L115+L117</f>
        <v>434142</v>
      </c>
      <c r="M114" s="82">
        <f t="shared" ref="M114:Q114" si="130">M115+M117</f>
        <v>0</v>
      </c>
      <c r="N114" s="82">
        <f t="shared" si="130"/>
        <v>434142</v>
      </c>
      <c r="O114" s="82">
        <f t="shared" si="130"/>
        <v>414947</v>
      </c>
      <c r="P114" s="82">
        <f t="shared" si="130"/>
        <v>0</v>
      </c>
      <c r="Q114" s="82">
        <f t="shared" si="130"/>
        <v>414947</v>
      </c>
    </row>
    <row r="115" spans="1:17" ht="37.5" customHeight="1" x14ac:dyDescent="0.25">
      <c r="A115" s="383" t="s">
        <v>322</v>
      </c>
      <c r="B115" s="383" t="s">
        <v>323</v>
      </c>
      <c r="C115" s="24">
        <f t="shared" ref="C115:I115" si="131">C116</f>
        <v>12112800</v>
      </c>
      <c r="D115" s="24"/>
      <c r="E115" s="24"/>
      <c r="F115" s="24">
        <f t="shared" si="131"/>
        <v>0</v>
      </c>
      <c r="G115" s="24">
        <f t="shared" si="131"/>
        <v>12112800</v>
      </c>
      <c r="H115" s="24">
        <f t="shared" si="131"/>
        <v>0</v>
      </c>
      <c r="I115" s="24">
        <f t="shared" si="131"/>
        <v>12112800</v>
      </c>
      <c r="L115" s="24">
        <f t="shared" ref="L115:M115" si="132">L116</f>
        <v>0</v>
      </c>
      <c r="M115" s="24">
        <f t="shared" si="132"/>
        <v>0</v>
      </c>
      <c r="N115" s="24">
        <f t="shared" si="82"/>
        <v>0</v>
      </c>
      <c r="O115" s="24">
        <f t="shared" ref="O115:P115" si="133">O116</f>
        <v>0</v>
      </c>
      <c r="P115" s="24">
        <f t="shared" si="133"/>
        <v>0</v>
      </c>
      <c r="Q115" s="24">
        <f t="shared" si="97"/>
        <v>0</v>
      </c>
    </row>
    <row r="116" spans="1:17" ht="52.5" customHeight="1" x14ac:dyDescent="0.25">
      <c r="A116" s="383" t="s">
        <v>324</v>
      </c>
      <c r="B116" s="383" t="s">
        <v>325</v>
      </c>
      <c r="C116" s="24">
        <v>12112800</v>
      </c>
      <c r="D116" s="24"/>
      <c r="E116" s="24"/>
      <c r="F116" s="24"/>
      <c r="G116" s="24">
        <f t="shared" si="118"/>
        <v>12112800</v>
      </c>
      <c r="H116" s="24"/>
      <c r="I116" s="24">
        <f t="shared" si="108"/>
        <v>12112800</v>
      </c>
      <c r="L116" s="24"/>
      <c r="M116" s="24"/>
      <c r="N116" s="24">
        <f t="shared" si="82"/>
        <v>0</v>
      </c>
      <c r="O116" s="24"/>
      <c r="P116" s="24"/>
      <c r="Q116" s="24">
        <f t="shared" si="97"/>
        <v>0</v>
      </c>
    </row>
    <row r="117" spans="1:17" ht="13.5" customHeight="1" x14ac:dyDescent="0.25">
      <c r="A117" s="383" t="s">
        <v>589</v>
      </c>
      <c r="B117" s="383" t="s">
        <v>588</v>
      </c>
      <c r="C117" s="24">
        <f>C118</f>
        <v>428902</v>
      </c>
      <c r="D117" s="24"/>
      <c r="E117" s="24"/>
      <c r="F117" s="24">
        <f t="shared" ref="F117:H117" si="134">F118</f>
        <v>0</v>
      </c>
      <c r="G117" s="24">
        <f t="shared" si="134"/>
        <v>428902</v>
      </c>
      <c r="H117" s="24">
        <f t="shared" si="134"/>
        <v>-39699</v>
      </c>
      <c r="I117" s="24">
        <f t="shared" si="108"/>
        <v>389203</v>
      </c>
      <c r="L117" s="24">
        <f>L118</f>
        <v>434142</v>
      </c>
      <c r="M117" s="24">
        <f t="shared" ref="M117" si="135">M118</f>
        <v>0</v>
      </c>
      <c r="N117" s="24">
        <f t="shared" si="82"/>
        <v>434142</v>
      </c>
      <c r="O117" s="24">
        <f>O118</f>
        <v>414947</v>
      </c>
      <c r="P117" s="24">
        <f t="shared" ref="P117" si="136">P118</f>
        <v>0</v>
      </c>
      <c r="Q117" s="24">
        <f t="shared" si="97"/>
        <v>414947</v>
      </c>
    </row>
    <row r="118" spans="1:17" ht="25.5" customHeight="1" x14ac:dyDescent="0.25">
      <c r="A118" s="383" t="s">
        <v>501</v>
      </c>
      <c r="B118" s="383" t="s">
        <v>502</v>
      </c>
      <c r="C118" s="24">
        <f>'6 Вед15'!J59</f>
        <v>428902</v>
      </c>
      <c r="D118" s="24"/>
      <c r="E118" s="24"/>
      <c r="F118" s="24"/>
      <c r="G118" s="24">
        <f>C118+F118</f>
        <v>428902</v>
      </c>
      <c r="H118" s="24">
        <v>-39699</v>
      </c>
      <c r="I118" s="24">
        <f t="shared" si="108"/>
        <v>389203</v>
      </c>
      <c r="L118" s="24">
        <v>434142</v>
      </c>
      <c r="M118" s="24"/>
      <c r="N118" s="24">
        <f t="shared" si="82"/>
        <v>434142</v>
      </c>
      <c r="O118" s="24">
        <v>414947</v>
      </c>
      <c r="P118" s="24"/>
      <c r="Q118" s="24">
        <f>O118+P118</f>
        <v>414947</v>
      </c>
    </row>
    <row r="119" spans="1:17" s="241" customFormat="1" ht="24.75" customHeight="1" x14ac:dyDescent="0.25">
      <c r="A119" s="140"/>
      <c r="B119" s="139" t="s">
        <v>326</v>
      </c>
      <c r="C119" s="240">
        <f>C7+C68</f>
        <v>234246433</v>
      </c>
      <c r="D119" s="240"/>
      <c r="E119" s="240"/>
      <c r="F119" s="240">
        <f>F7+F68</f>
        <v>4802500</v>
      </c>
      <c r="G119" s="240">
        <f>G7+G68</f>
        <v>239048933</v>
      </c>
      <c r="H119" s="240">
        <f>H7+H68</f>
        <v>-4115019</v>
      </c>
      <c r="I119" s="240">
        <f>I7+I68</f>
        <v>234933914</v>
      </c>
      <c r="L119" s="240">
        <f t="shared" ref="L119:Q119" si="137">L7+L68</f>
        <v>230823280</v>
      </c>
      <c r="M119" s="240">
        <f t="shared" si="137"/>
        <v>-5599900</v>
      </c>
      <c r="N119" s="240">
        <f t="shared" si="137"/>
        <v>225223380</v>
      </c>
      <c r="O119" s="240">
        <f t="shared" si="137"/>
        <v>229348073</v>
      </c>
      <c r="P119" s="240">
        <f t="shared" si="137"/>
        <v>-5153400</v>
      </c>
      <c r="Q119" s="240">
        <f t="shared" si="137"/>
        <v>224194673</v>
      </c>
    </row>
    <row r="120" spans="1:17" ht="24.75" customHeight="1" x14ac:dyDescent="0.25">
      <c r="A120" s="75"/>
      <c r="B120" s="6"/>
      <c r="C120" s="10"/>
      <c r="D120" s="10"/>
      <c r="E120" s="10"/>
      <c r="F120" s="287"/>
      <c r="G120" s="232"/>
      <c r="H120" s="287">
        <f>SUM(H121:H138)</f>
        <v>-4115019</v>
      </c>
      <c r="I120" s="232"/>
      <c r="M120" s="287">
        <f>SUM(M121:M138)</f>
        <v>-5599900</v>
      </c>
      <c r="P120" s="287">
        <f>SUM(P121:P138)</f>
        <v>-5153400</v>
      </c>
    </row>
    <row r="121" spans="1:17" ht="12.75" customHeight="1" x14ac:dyDescent="0.25">
      <c r="A121" s="75"/>
      <c r="B121" s="6"/>
      <c r="C121" s="10"/>
      <c r="D121" s="10"/>
      <c r="E121" s="10"/>
      <c r="F121" s="10"/>
      <c r="G121" s="10"/>
      <c r="H121" s="10">
        <v>-2589800</v>
      </c>
      <c r="I121" s="10"/>
      <c r="M121" s="76">
        <v>-2958200</v>
      </c>
      <c r="P121" s="76">
        <v>-3416500</v>
      </c>
    </row>
    <row r="122" spans="1:17" ht="12.75" customHeight="1" x14ac:dyDescent="0.25">
      <c r="A122" s="75"/>
      <c r="B122" s="6"/>
      <c r="C122" s="6"/>
      <c r="D122" s="6"/>
      <c r="E122" s="6"/>
      <c r="G122" s="81" t="s">
        <v>195</v>
      </c>
      <c r="H122" s="76">
        <v>-1690900</v>
      </c>
      <c r="I122" s="81" t="s">
        <v>195</v>
      </c>
      <c r="M122" s="76">
        <v>-1362800</v>
      </c>
      <c r="P122" s="76">
        <v>-853000</v>
      </c>
    </row>
    <row r="123" spans="1:17" ht="12.75" customHeight="1" x14ac:dyDescent="0.25">
      <c r="A123" s="75"/>
      <c r="B123" s="6"/>
      <c r="C123" s="6"/>
      <c r="D123" s="6"/>
      <c r="E123" s="6"/>
      <c r="H123" s="76">
        <v>-860700</v>
      </c>
      <c r="M123" s="76">
        <v>-1278900</v>
      </c>
      <c r="P123" s="76">
        <v>-883900</v>
      </c>
    </row>
    <row r="124" spans="1:17" ht="12.75" customHeight="1" x14ac:dyDescent="0.25">
      <c r="H124" s="76">
        <v>-59619</v>
      </c>
    </row>
    <row r="125" spans="1:17" ht="12.75" customHeight="1" x14ac:dyDescent="0.25">
      <c r="H125" s="76">
        <v>-74105</v>
      </c>
    </row>
    <row r="126" spans="1:17" ht="12.75" customHeight="1" x14ac:dyDescent="0.25">
      <c r="H126" s="76">
        <v>249959</v>
      </c>
    </row>
    <row r="127" spans="1:17" ht="12.75" customHeight="1" x14ac:dyDescent="0.25">
      <c r="H127" s="76">
        <v>-46060</v>
      </c>
    </row>
    <row r="128" spans="1:17" ht="12.75" customHeight="1" x14ac:dyDescent="0.25">
      <c r="H128" s="76">
        <v>-12145</v>
      </c>
    </row>
    <row r="129" spans="7:8" s="76" customFormat="1" ht="12.75" customHeight="1" x14ac:dyDescent="0.25">
      <c r="G129" s="81"/>
      <c r="H129" s="76">
        <v>808050</v>
      </c>
    </row>
    <row r="130" spans="7:8" s="76" customFormat="1" ht="12.75" customHeight="1" x14ac:dyDescent="0.25">
      <c r="G130" s="81"/>
      <c r="H130" s="76">
        <v>-39699</v>
      </c>
    </row>
    <row r="131" spans="7:8" s="76" customFormat="1" ht="12.75" customHeight="1" x14ac:dyDescent="0.25">
      <c r="G131" s="81"/>
      <c r="H131" s="76">
        <v>200000</v>
      </c>
    </row>
    <row r="132" spans="7:8" s="76" customFormat="1" ht="12.75" customHeight="1" x14ac:dyDescent="0.25">
      <c r="G132" s="81"/>
    </row>
    <row r="133" spans="7:8" s="76" customFormat="1" ht="12.75" customHeight="1" x14ac:dyDescent="0.25">
      <c r="G133" s="81"/>
    </row>
    <row r="134" spans="7:8" s="76" customFormat="1" ht="12.75" customHeight="1" x14ac:dyDescent="0.25">
      <c r="G134" s="81"/>
    </row>
    <row r="135" spans="7:8" s="76" customFormat="1" ht="12.75" customHeight="1" x14ac:dyDescent="0.25">
      <c r="G135" s="81"/>
    </row>
    <row r="136" spans="7:8" s="76" customFormat="1" ht="48.75" customHeight="1" x14ac:dyDescent="0.25">
      <c r="G136" s="81"/>
    </row>
    <row r="137" spans="7:8" s="76" customFormat="1" ht="48.75" customHeight="1" x14ac:dyDescent="0.25"/>
    <row r="138" spans="7:8" s="76" customFormat="1" ht="49.5" customHeight="1" x14ac:dyDescent="0.25"/>
    <row r="139" spans="7:8" s="76" customFormat="1" ht="50.25" customHeight="1" x14ac:dyDescent="0.25"/>
    <row r="140" spans="7:8" s="76" customFormat="1" ht="15" customHeight="1" x14ac:dyDescent="0.25"/>
    <row r="141" spans="7:8" s="76" customFormat="1" ht="15" customHeight="1" x14ac:dyDescent="0.25"/>
    <row r="142" spans="7:8" s="76" customFormat="1" ht="63" customHeight="1" x14ac:dyDescent="0.25"/>
    <row r="143" spans="7:8" s="76" customFormat="1" ht="21" customHeight="1" x14ac:dyDescent="0.25"/>
    <row r="144" spans="7:8" s="76" customFormat="1" ht="48" customHeight="1" x14ac:dyDescent="0.25"/>
    <row r="145" s="76" customFormat="1" ht="48" customHeight="1" x14ac:dyDescent="0.25"/>
    <row r="146" s="76" customFormat="1" ht="14.25" customHeight="1" x14ac:dyDescent="0.25"/>
    <row r="147" s="76" customFormat="1" ht="27" customHeight="1" x14ac:dyDescent="0.25"/>
    <row r="148" s="76" customFormat="1" ht="18" customHeight="1" x14ac:dyDescent="0.25"/>
  </sheetData>
  <mergeCells count="3">
    <mergeCell ref="A3:Q3"/>
    <mergeCell ref="I2:Q2"/>
    <mergeCell ref="I1:Q1"/>
  </mergeCells>
  <pageMargins left="0.62992125984251968" right="0.39370078740157483" top="0.15748031496062992" bottom="0.15748031496062992"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P446"/>
  <sheetViews>
    <sheetView workbookViewId="0">
      <pane xSplit="10" ySplit="7" topLeftCell="K239" activePane="bottomRight" state="frozen"/>
      <selection activeCell="A4" sqref="A4:C4"/>
      <selection pane="topRight" activeCell="A4" sqref="A4:C4"/>
      <selection pane="bottomLeft" activeCell="A4" sqref="A4:C4"/>
      <selection pane="bottomRight" activeCell="O239" sqref="O239"/>
    </sheetView>
  </sheetViews>
  <sheetFormatPr defaultRowHeight="12" x14ac:dyDescent="0.25"/>
  <cols>
    <col min="1" max="1" width="2.140625" style="81" customWidth="1"/>
    <col min="2" max="2" width="50" style="81" customWidth="1"/>
    <col min="3" max="3" width="4" style="81" hidden="1" customWidth="1"/>
    <col min="4" max="5" width="4" style="81" customWidth="1"/>
    <col min="6" max="6" width="4.140625" style="97" customWidth="1"/>
    <col min="7" max="8" width="4" style="97" hidden="1" customWidth="1"/>
    <col min="9" max="9" width="5.85546875" style="97" customWidth="1"/>
    <col min="10" max="10" width="5" style="81" customWidth="1"/>
    <col min="11" max="11" width="14.5703125" style="81" hidden="1" customWidth="1"/>
    <col min="12" max="12" width="11.85546875" style="81" hidden="1" customWidth="1"/>
    <col min="13" max="13" width="13.28515625" style="81" hidden="1" customWidth="1"/>
    <col min="14" max="14" width="11.85546875" style="81" hidden="1" customWidth="1"/>
    <col min="15" max="15" width="17.42578125" style="81" customWidth="1"/>
    <col min="16" max="229" width="9.140625" style="81"/>
    <col min="230" max="230" width="1.42578125" style="81" customWidth="1"/>
    <col min="231" max="231" width="59.5703125" style="81" customWidth="1"/>
    <col min="232" max="232" width="9.140625" style="81" customWidth="1"/>
    <col min="233" max="234" width="3.85546875" style="81" customWidth="1"/>
    <col min="235" max="235" width="10.5703125" style="81" customWidth="1"/>
    <col min="236" max="236" width="3.85546875" style="81" customWidth="1"/>
    <col min="237" max="239" width="14.42578125" style="81" customWidth="1"/>
    <col min="240" max="240" width="4.140625" style="81" customWidth="1"/>
    <col min="241" max="241" width="15" style="81" customWidth="1"/>
    <col min="242" max="243" width="9.140625" style="81" customWidth="1"/>
    <col min="244" max="244" width="11.5703125" style="81" customWidth="1"/>
    <col min="245" max="245" width="18.140625" style="81" customWidth="1"/>
    <col min="246" max="246" width="13.140625" style="81" customWidth="1"/>
    <col min="247" max="247" width="12.28515625" style="81" customWidth="1"/>
    <col min="248" max="485" width="9.140625" style="81"/>
    <col min="486" max="486" width="1.42578125" style="81" customWidth="1"/>
    <col min="487" max="487" width="59.5703125" style="81" customWidth="1"/>
    <col min="488" max="488" width="9.140625" style="81" customWidth="1"/>
    <col min="489" max="490" width="3.85546875" style="81" customWidth="1"/>
    <col min="491" max="491" width="10.5703125" style="81" customWidth="1"/>
    <col min="492" max="492" width="3.85546875" style="81" customWidth="1"/>
    <col min="493" max="495" width="14.42578125" style="81" customWidth="1"/>
    <col min="496" max="496" width="4.140625" style="81" customWidth="1"/>
    <col min="497" max="497" width="15" style="81" customWidth="1"/>
    <col min="498" max="499" width="9.140625" style="81" customWidth="1"/>
    <col min="500" max="500" width="11.5703125" style="81" customWidth="1"/>
    <col min="501" max="501" width="18.140625" style="81" customWidth="1"/>
    <col min="502" max="502" width="13.140625" style="81" customWidth="1"/>
    <col min="503" max="503" width="12.28515625" style="81" customWidth="1"/>
    <col min="504" max="741" width="9.140625" style="81"/>
    <col min="742" max="742" width="1.42578125" style="81" customWidth="1"/>
    <col min="743" max="743" width="59.5703125" style="81" customWidth="1"/>
    <col min="744" max="744" width="9.140625" style="81" customWidth="1"/>
    <col min="745" max="746" width="3.85546875" style="81" customWidth="1"/>
    <col min="747" max="747" width="10.5703125" style="81" customWidth="1"/>
    <col min="748" max="748" width="3.85546875" style="81" customWidth="1"/>
    <col min="749" max="751" width="14.42578125" style="81" customWidth="1"/>
    <col min="752" max="752" width="4.140625" style="81" customWidth="1"/>
    <col min="753" max="753" width="15" style="81" customWidth="1"/>
    <col min="754" max="755" width="9.140625" style="81" customWidth="1"/>
    <col min="756" max="756" width="11.5703125" style="81" customWidth="1"/>
    <col min="757" max="757" width="18.140625" style="81" customWidth="1"/>
    <col min="758" max="758" width="13.140625" style="81" customWidth="1"/>
    <col min="759" max="759" width="12.28515625" style="81" customWidth="1"/>
    <col min="760" max="997" width="9.140625" style="81"/>
    <col min="998" max="998" width="1.42578125" style="81" customWidth="1"/>
    <col min="999" max="999" width="59.5703125" style="81" customWidth="1"/>
    <col min="1000" max="1000" width="9.140625" style="81" customWidth="1"/>
    <col min="1001" max="1002" width="3.85546875" style="81" customWidth="1"/>
    <col min="1003" max="1003" width="10.5703125" style="81" customWidth="1"/>
    <col min="1004" max="1004" width="3.85546875" style="81" customWidth="1"/>
    <col min="1005" max="1007" width="14.42578125" style="81" customWidth="1"/>
    <col min="1008" max="1008" width="4.140625" style="81" customWidth="1"/>
    <col min="1009" max="1009" width="15" style="81" customWidth="1"/>
    <col min="1010" max="1011" width="9.140625" style="81" customWidth="1"/>
    <col min="1012" max="1012" width="11.5703125" style="81" customWidth="1"/>
    <col min="1013" max="1013" width="18.140625" style="81" customWidth="1"/>
    <col min="1014" max="1014" width="13.140625" style="81" customWidth="1"/>
    <col min="1015" max="1015" width="12.28515625" style="81" customWidth="1"/>
    <col min="1016" max="1253" width="9.140625" style="81"/>
    <col min="1254" max="1254" width="1.42578125" style="81" customWidth="1"/>
    <col min="1255" max="1255" width="59.5703125" style="81" customWidth="1"/>
    <col min="1256" max="1256" width="9.140625" style="81" customWidth="1"/>
    <col min="1257" max="1258" width="3.85546875" style="81" customWidth="1"/>
    <col min="1259" max="1259" width="10.5703125" style="81" customWidth="1"/>
    <col min="1260" max="1260" width="3.85546875" style="81" customWidth="1"/>
    <col min="1261" max="1263" width="14.42578125" style="81" customWidth="1"/>
    <col min="1264" max="1264" width="4.140625" style="81" customWidth="1"/>
    <col min="1265" max="1265" width="15" style="81" customWidth="1"/>
    <col min="1266" max="1267" width="9.140625" style="81" customWidth="1"/>
    <col min="1268" max="1268" width="11.5703125" style="81" customWidth="1"/>
    <col min="1269" max="1269" width="18.140625" style="81" customWidth="1"/>
    <col min="1270" max="1270" width="13.140625" style="81" customWidth="1"/>
    <col min="1271" max="1271" width="12.28515625" style="81" customWidth="1"/>
    <col min="1272" max="1509" width="9.140625" style="81"/>
    <col min="1510" max="1510" width="1.42578125" style="81" customWidth="1"/>
    <col min="1511" max="1511" width="59.5703125" style="81" customWidth="1"/>
    <col min="1512" max="1512" width="9.140625" style="81" customWidth="1"/>
    <col min="1513" max="1514" width="3.85546875" style="81" customWidth="1"/>
    <col min="1515" max="1515" width="10.5703125" style="81" customWidth="1"/>
    <col min="1516" max="1516" width="3.85546875" style="81" customWidth="1"/>
    <col min="1517" max="1519" width="14.42578125" style="81" customWidth="1"/>
    <col min="1520" max="1520" width="4.140625" style="81" customWidth="1"/>
    <col min="1521" max="1521" width="15" style="81" customWidth="1"/>
    <col min="1522" max="1523" width="9.140625" style="81" customWidth="1"/>
    <col min="1524" max="1524" width="11.5703125" style="81" customWidth="1"/>
    <col min="1525" max="1525" width="18.140625" style="81" customWidth="1"/>
    <col min="1526" max="1526" width="13.140625" style="81" customWidth="1"/>
    <col min="1527" max="1527" width="12.28515625" style="81" customWidth="1"/>
    <col min="1528" max="1765" width="9.140625" style="81"/>
    <col min="1766" max="1766" width="1.42578125" style="81" customWidth="1"/>
    <col min="1767" max="1767" width="59.5703125" style="81" customWidth="1"/>
    <col min="1768" max="1768" width="9.140625" style="81" customWidth="1"/>
    <col min="1769" max="1770" width="3.85546875" style="81" customWidth="1"/>
    <col min="1771" max="1771" width="10.5703125" style="81" customWidth="1"/>
    <col min="1772" max="1772" width="3.85546875" style="81" customWidth="1"/>
    <col min="1773" max="1775" width="14.42578125" style="81" customWidth="1"/>
    <col min="1776" max="1776" width="4.140625" style="81" customWidth="1"/>
    <col min="1777" max="1777" width="15" style="81" customWidth="1"/>
    <col min="1778" max="1779" width="9.140625" style="81" customWidth="1"/>
    <col min="1780" max="1780" width="11.5703125" style="81" customWidth="1"/>
    <col min="1781" max="1781" width="18.140625" style="81" customWidth="1"/>
    <col min="1782" max="1782" width="13.140625" style="81" customWidth="1"/>
    <col min="1783" max="1783" width="12.28515625" style="81" customWidth="1"/>
    <col min="1784" max="2021" width="9.140625" style="81"/>
    <col min="2022" max="2022" width="1.42578125" style="81" customWidth="1"/>
    <col min="2023" max="2023" width="59.5703125" style="81" customWidth="1"/>
    <col min="2024" max="2024" width="9.140625" style="81" customWidth="1"/>
    <col min="2025" max="2026" width="3.85546875" style="81" customWidth="1"/>
    <col min="2027" max="2027" width="10.5703125" style="81" customWidth="1"/>
    <col min="2028" max="2028" width="3.85546875" style="81" customWidth="1"/>
    <col min="2029" max="2031" width="14.42578125" style="81" customWidth="1"/>
    <col min="2032" max="2032" width="4.140625" style="81" customWidth="1"/>
    <col min="2033" max="2033" width="15" style="81" customWidth="1"/>
    <col min="2034" max="2035" width="9.140625" style="81" customWidth="1"/>
    <col min="2036" max="2036" width="11.5703125" style="81" customWidth="1"/>
    <col min="2037" max="2037" width="18.140625" style="81" customWidth="1"/>
    <col min="2038" max="2038" width="13.140625" style="81" customWidth="1"/>
    <col min="2039" max="2039" width="12.28515625" style="81" customWidth="1"/>
    <col min="2040" max="2277" width="9.140625" style="81"/>
    <col min="2278" max="2278" width="1.42578125" style="81" customWidth="1"/>
    <col min="2279" max="2279" width="59.5703125" style="81" customWidth="1"/>
    <col min="2280" max="2280" width="9.140625" style="81" customWidth="1"/>
    <col min="2281" max="2282" width="3.85546875" style="81" customWidth="1"/>
    <col min="2283" max="2283" width="10.5703125" style="81" customWidth="1"/>
    <col min="2284" max="2284" width="3.85546875" style="81" customWidth="1"/>
    <col min="2285" max="2287" width="14.42578125" style="81" customWidth="1"/>
    <col min="2288" max="2288" width="4.140625" style="81" customWidth="1"/>
    <col min="2289" max="2289" width="15" style="81" customWidth="1"/>
    <col min="2290" max="2291" width="9.140625" style="81" customWidth="1"/>
    <col min="2292" max="2292" width="11.5703125" style="81" customWidth="1"/>
    <col min="2293" max="2293" width="18.140625" style="81" customWidth="1"/>
    <col min="2294" max="2294" width="13.140625" style="81" customWidth="1"/>
    <col min="2295" max="2295" width="12.28515625" style="81" customWidth="1"/>
    <col min="2296" max="2533" width="9.140625" style="81"/>
    <col min="2534" max="2534" width="1.42578125" style="81" customWidth="1"/>
    <col min="2535" max="2535" width="59.5703125" style="81" customWidth="1"/>
    <col min="2536" max="2536" width="9.140625" style="81" customWidth="1"/>
    <col min="2537" max="2538" width="3.85546875" style="81" customWidth="1"/>
    <col min="2539" max="2539" width="10.5703125" style="81" customWidth="1"/>
    <col min="2540" max="2540" width="3.85546875" style="81" customWidth="1"/>
    <col min="2541" max="2543" width="14.42578125" style="81" customWidth="1"/>
    <col min="2544" max="2544" width="4.140625" style="81" customWidth="1"/>
    <col min="2545" max="2545" width="15" style="81" customWidth="1"/>
    <col min="2546" max="2547" width="9.140625" style="81" customWidth="1"/>
    <col min="2548" max="2548" width="11.5703125" style="81" customWidth="1"/>
    <col min="2549" max="2549" width="18.140625" style="81" customWidth="1"/>
    <col min="2550" max="2550" width="13.140625" style="81" customWidth="1"/>
    <col min="2551" max="2551" width="12.28515625" style="81" customWidth="1"/>
    <col min="2552" max="2789" width="9.140625" style="81"/>
    <col min="2790" max="2790" width="1.42578125" style="81" customWidth="1"/>
    <col min="2791" max="2791" width="59.5703125" style="81" customWidth="1"/>
    <col min="2792" max="2792" width="9.140625" style="81" customWidth="1"/>
    <col min="2793" max="2794" width="3.85546875" style="81" customWidth="1"/>
    <col min="2795" max="2795" width="10.5703125" style="81" customWidth="1"/>
    <col min="2796" max="2796" width="3.85546875" style="81" customWidth="1"/>
    <col min="2797" max="2799" width="14.42578125" style="81" customWidth="1"/>
    <col min="2800" max="2800" width="4.140625" style="81" customWidth="1"/>
    <col min="2801" max="2801" width="15" style="81" customWidth="1"/>
    <col min="2802" max="2803" width="9.140625" style="81" customWidth="1"/>
    <col min="2804" max="2804" width="11.5703125" style="81" customWidth="1"/>
    <col min="2805" max="2805" width="18.140625" style="81" customWidth="1"/>
    <col min="2806" max="2806" width="13.140625" style="81" customWidth="1"/>
    <col min="2807" max="2807" width="12.28515625" style="81" customWidth="1"/>
    <col min="2808" max="3045" width="9.140625" style="81"/>
    <col min="3046" max="3046" width="1.42578125" style="81" customWidth="1"/>
    <col min="3047" max="3047" width="59.5703125" style="81" customWidth="1"/>
    <col min="3048" max="3048" width="9.140625" style="81" customWidth="1"/>
    <col min="3049" max="3050" width="3.85546875" style="81" customWidth="1"/>
    <col min="3051" max="3051" width="10.5703125" style="81" customWidth="1"/>
    <col min="3052" max="3052" width="3.85546875" style="81" customWidth="1"/>
    <col min="3053" max="3055" width="14.42578125" style="81" customWidth="1"/>
    <col min="3056" max="3056" width="4.140625" style="81" customWidth="1"/>
    <col min="3057" max="3057" width="15" style="81" customWidth="1"/>
    <col min="3058" max="3059" width="9.140625" style="81" customWidth="1"/>
    <col min="3060" max="3060" width="11.5703125" style="81" customWidth="1"/>
    <col min="3061" max="3061" width="18.140625" style="81" customWidth="1"/>
    <col min="3062" max="3062" width="13.140625" style="81" customWidth="1"/>
    <col min="3063" max="3063" width="12.28515625" style="81" customWidth="1"/>
    <col min="3064" max="3301" width="9.140625" style="81"/>
    <col min="3302" max="3302" width="1.42578125" style="81" customWidth="1"/>
    <col min="3303" max="3303" width="59.5703125" style="81" customWidth="1"/>
    <col min="3304" max="3304" width="9.140625" style="81" customWidth="1"/>
    <col min="3305" max="3306" width="3.85546875" style="81" customWidth="1"/>
    <col min="3307" max="3307" width="10.5703125" style="81" customWidth="1"/>
    <col min="3308" max="3308" width="3.85546875" style="81" customWidth="1"/>
    <col min="3309" max="3311" width="14.42578125" style="81" customWidth="1"/>
    <col min="3312" max="3312" width="4.140625" style="81" customWidth="1"/>
    <col min="3313" max="3313" width="15" style="81" customWidth="1"/>
    <col min="3314" max="3315" width="9.140625" style="81" customWidth="1"/>
    <col min="3316" max="3316" width="11.5703125" style="81" customWidth="1"/>
    <col min="3317" max="3317" width="18.140625" style="81" customWidth="1"/>
    <col min="3318" max="3318" width="13.140625" style="81" customWidth="1"/>
    <col min="3319" max="3319" width="12.28515625" style="81" customWidth="1"/>
    <col min="3320" max="3557" width="9.140625" style="81"/>
    <col min="3558" max="3558" width="1.42578125" style="81" customWidth="1"/>
    <col min="3559" max="3559" width="59.5703125" style="81" customWidth="1"/>
    <col min="3560" max="3560" width="9.140625" style="81" customWidth="1"/>
    <col min="3561" max="3562" width="3.85546875" style="81" customWidth="1"/>
    <col min="3563" max="3563" width="10.5703125" style="81" customWidth="1"/>
    <col min="3564" max="3564" width="3.85546875" style="81" customWidth="1"/>
    <col min="3565" max="3567" width="14.42578125" style="81" customWidth="1"/>
    <col min="3568" max="3568" width="4.140625" style="81" customWidth="1"/>
    <col min="3569" max="3569" width="15" style="81" customWidth="1"/>
    <col min="3570" max="3571" width="9.140625" style="81" customWidth="1"/>
    <col min="3572" max="3572" width="11.5703125" style="81" customWidth="1"/>
    <col min="3573" max="3573" width="18.140625" style="81" customWidth="1"/>
    <col min="3574" max="3574" width="13.140625" style="81" customWidth="1"/>
    <col min="3575" max="3575" width="12.28515625" style="81" customWidth="1"/>
    <col min="3576" max="3813" width="9.140625" style="81"/>
    <col min="3814" max="3814" width="1.42578125" style="81" customWidth="1"/>
    <col min="3815" max="3815" width="59.5703125" style="81" customWidth="1"/>
    <col min="3816" max="3816" width="9.140625" style="81" customWidth="1"/>
    <col min="3817" max="3818" width="3.85546875" style="81" customWidth="1"/>
    <col min="3819" max="3819" width="10.5703125" style="81" customWidth="1"/>
    <col min="3820" max="3820" width="3.85546875" style="81" customWidth="1"/>
    <col min="3821" max="3823" width="14.42578125" style="81" customWidth="1"/>
    <col min="3824" max="3824" width="4.140625" style="81" customWidth="1"/>
    <col min="3825" max="3825" width="15" style="81" customWidth="1"/>
    <col min="3826" max="3827" width="9.140625" style="81" customWidth="1"/>
    <col min="3828" max="3828" width="11.5703125" style="81" customWidth="1"/>
    <col min="3829" max="3829" width="18.140625" style="81" customWidth="1"/>
    <col min="3830" max="3830" width="13.140625" style="81" customWidth="1"/>
    <col min="3831" max="3831" width="12.28515625" style="81" customWidth="1"/>
    <col min="3832" max="4069" width="9.140625" style="81"/>
    <col min="4070" max="4070" width="1.42578125" style="81" customWidth="1"/>
    <col min="4071" max="4071" width="59.5703125" style="81" customWidth="1"/>
    <col min="4072" max="4072" width="9.140625" style="81" customWidth="1"/>
    <col min="4073" max="4074" width="3.85546875" style="81" customWidth="1"/>
    <col min="4075" max="4075" width="10.5703125" style="81" customWidth="1"/>
    <col min="4076" max="4076" width="3.85546875" style="81" customWidth="1"/>
    <col min="4077" max="4079" width="14.42578125" style="81" customWidth="1"/>
    <col min="4080" max="4080" width="4.140625" style="81" customWidth="1"/>
    <col min="4081" max="4081" width="15" style="81" customWidth="1"/>
    <col min="4082" max="4083" width="9.140625" style="81" customWidth="1"/>
    <col min="4084" max="4084" width="11.5703125" style="81" customWidth="1"/>
    <col min="4085" max="4085" width="18.140625" style="81" customWidth="1"/>
    <col min="4086" max="4086" width="13.140625" style="81" customWidth="1"/>
    <col min="4087" max="4087" width="12.28515625" style="81" customWidth="1"/>
    <col min="4088" max="4325" width="9.140625" style="81"/>
    <col min="4326" max="4326" width="1.42578125" style="81" customWidth="1"/>
    <col min="4327" max="4327" width="59.5703125" style="81" customWidth="1"/>
    <col min="4328" max="4328" width="9.140625" style="81" customWidth="1"/>
    <col min="4329" max="4330" width="3.85546875" style="81" customWidth="1"/>
    <col min="4331" max="4331" width="10.5703125" style="81" customWidth="1"/>
    <col min="4332" max="4332" width="3.85546875" style="81" customWidth="1"/>
    <col min="4333" max="4335" width="14.42578125" style="81" customWidth="1"/>
    <col min="4336" max="4336" width="4.140625" style="81" customWidth="1"/>
    <col min="4337" max="4337" width="15" style="81" customWidth="1"/>
    <col min="4338" max="4339" width="9.140625" style="81" customWidth="1"/>
    <col min="4340" max="4340" width="11.5703125" style="81" customWidth="1"/>
    <col min="4341" max="4341" width="18.140625" style="81" customWidth="1"/>
    <col min="4342" max="4342" width="13.140625" style="81" customWidth="1"/>
    <col min="4343" max="4343" width="12.28515625" style="81" customWidth="1"/>
    <col min="4344" max="4581" width="9.140625" style="81"/>
    <col min="4582" max="4582" width="1.42578125" style="81" customWidth="1"/>
    <col min="4583" max="4583" width="59.5703125" style="81" customWidth="1"/>
    <col min="4584" max="4584" width="9.140625" style="81" customWidth="1"/>
    <col min="4585" max="4586" width="3.85546875" style="81" customWidth="1"/>
    <col min="4587" max="4587" width="10.5703125" style="81" customWidth="1"/>
    <col min="4588" max="4588" width="3.85546875" style="81" customWidth="1"/>
    <col min="4589" max="4591" width="14.42578125" style="81" customWidth="1"/>
    <col min="4592" max="4592" width="4.140625" style="81" customWidth="1"/>
    <col min="4593" max="4593" width="15" style="81" customWidth="1"/>
    <col min="4594" max="4595" width="9.140625" style="81" customWidth="1"/>
    <col min="4596" max="4596" width="11.5703125" style="81" customWidth="1"/>
    <col min="4597" max="4597" width="18.140625" style="81" customWidth="1"/>
    <col min="4598" max="4598" width="13.140625" style="81" customWidth="1"/>
    <col min="4599" max="4599" width="12.28515625" style="81" customWidth="1"/>
    <col min="4600" max="4837" width="9.140625" style="81"/>
    <col min="4838" max="4838" width="1.42578125" style="81" customWidth="1"/>
    <col min="4839" max="4839" width="59.5703125" style="81" customWidth="1"/>
    <col min="4840" max="4840" width="9.140625" style="81" customWidth="1"/>
    <col min="4841" max="4842" width="3.85546875" style="81" customWidth="1"/>
    <col min="4843" max="4843" width="10.5703125" style="81" customWidth="1"/>
    <col min="4844" max="4844" width="3.85546875" style="81" customWidth="1"/>
    <col min="4845" max="4847" width="14.42578125" style="81" customWidth="1"/>
    <col min="4848" max="4848" width="4.140625" style="81" customWidth="1"/>
    <col min="4849" max="4849" width="15" style="81" customWidth="1"/>
    <col min="4850" max="4851" width="9.140625" style="81" customWidth="1"/>
    <col min="4852" max="4852" width="11.5703125" style="81" customWidth="1"/>
    <col min="4853" max="4853" width="18.140625" style="81" customWidth="1"/>
    <col min="4854" max="4854" width="13.140625" style="81" customWidth="1"/>
    <col min="4855" max="4855" width="12.28515625" style="81" customWidth="1"/>
    <col min="4856" max="5093" width="9.140625" style="81"/>
    <col min="5094" max="5094" width="1.42578125" style="81" customWidth="1"/>
    <col min="5095" max="5095" width="59.5703125" style="81" customWidth="1"/>
    <col min="5096" max="5096" width="9.140625" style="81" customWidth="1"/>
    <col min="5097" max="5098" width="3.85546875" style="81" customWidth="1"/>
    <col min="5099" max="5099" width="10.5703125" style="81" customWidth="1"/>
    <col min="5100" max="5100" width="3.85546875" style="81" customWidth="1"/>
    <col min="5101" max="5103" width="14.42578125" style="81" customWidth="1"/>
    <col min="5104" max="5104" width="4.140625" style="81" customWidth="1"/>
    <col min="5105" max="5105" width="15" style="81" customWidth="1"/>
    <col min="5106" max="5107" width="9.140625" style="81" customWidth="1"/>
    <col min="5108" max="5108" width="11.5703125" style="81" customWidth="1"/>
    <col min="5109" max="5109" width="18.140625" style="81" customWidth="1"/>
    <col min="5110" max="5110" width="13.140625" style="81" customWidth="1"/>
    <col min="5111" max="5111" width="12.28515625" style="81" customWidth="1"/>
    <col min="5112" max="5349" width="9.140625" style="81"/>
    <col min="5350" max="5350" width="1.42578125" style="81" customWidth="1"/>
    <col min="5351" max="5351" width="59.5703125" style="81" customWidth="1"/>
    <col min="5352" max="5352" width="9.140625" style="81" customWidth="1"/>
    <col min="5353" max="5354" width="3.85546875" style="81" customWidth="1"/>
    <col min="5355" max="5355" width="10.5703125" style="81" customWidth="1"/>
    <col min="5356" max="5356" width="3.85546875" style="81" customWidth="1"/>
    <col min="5357" max="5359" width="14.42578125" style="81" customWidth="1"/>
    <col min="5360" max="5360" width="4.140625" style="81" customWidth="1"/>
    <col min="5361" max="5361" width="15" style="81" customWidth="1"/>
    <col min="5362" max="5363" width="9.140625" style="81" customWidth="1"/>
    <col min="5364" max="5364" width="11.5703125" style="81" customWidth="1"/>
    <col min="5365" max="5365" width="18.140625" style="81" customWidth="1"/>
    <col min="5366" max="5366" width="13.140625" style="81" customWidth="1"/>
    <col min="5367" max="5367" width="12.28515625" style="81" customWidth="1"/>
    <col min="5368" max="5605" width="9.140625" style="81"/>
    <col min="5606" max="5606" width="1.42578125" style="81" customWidth="1"/>
    <col min="5607" max="5607" width="59.5703125" style="81" customWidth="1"/>
    <col min="5608" max="5608" width="9.140625" style="81" customWidth="1"/>
    <col min="5609" max="5610" width="3.85546875" style="81" customWidth="1"/>
    <col min="5611" max="5611" width="10.5703125" style="81" customWidth="1"/>
    <col min="5612" max="5612" width="3.85546875" style="81" customWidth="1"/>
    <col min="5613" max="5615" width="14.42578125" style="81" customWidth="1"/>
    <col min="5616" max="5616" width="4.140625" style="81" customWidth="1"/>
    <col min="5617" max="5617" width="15" style="81" customWidth="1"/>
    <col min="5618" max="5619" width="9.140625" style="81" customWidth="1"/>
    <col min="5620" max="5620" width="11.5703125" style="81" customWidth="1"/>
    <col min="5621" max="5621" width="18.140625" style="81" customWidth="1"/>
    <col min="5622" max="5622" width="13.140625" style="81" customWidth="1"/>
    <col min="5623" max="5623" width="12.28515625" style="81" customWidth="1"/>
    <col min="5624" max="5861" width="9.140625" style="81"/>
    <col min="5862" max="5862" width="1.42578125" style="81" customWidth="1"/>
    <col min="5863" max="5863" width="59.5703125" style="81" customWidth="1"/>
    <col min="5864" max="5864" width="9.140625" style="81" customWidth="1"/>
    <col min="5865" max="5866" width="3.85546875" style="81" customWidth="1"/>
    <col min="5867" max="5867" width="10.5703125" style="81" customWidth="1"/>
    <col min="5868" max="5868" width="3.85546875" style="81" customWidth="1"/>
    <col min="5869" max="5871" width="14.42578125" style="81" customWidth="1"/>
    <col min="5872" max="5872" width="4.140625" style="81" customWidth="1"/>
    <col min="5873" max="5873" width="15" style="81" customWidth="1"/>
    <col min="5874" max="5875" width="9.140625" style="81" customWidth="1"/>
    <col min="5876" max="5876" width="11.5703125" style="81" customWidth="1"/>
    <col min="5877" max="5877" width="18.140625" style="81" customWidth="1"/>
    <col min="5878" max="5878" width="13.140625" style="81" customWidth="1"/>
    <col min="5879" max="5879" width="12.28515625" style="81" customWidth="1"/>
    <col min="5880" max="6117" width="9.140625" style="81"/>
    <col min="6118" max="6118" width="1.42578125" style="81" customWidth="1"/>
    <col min="6119" max="6119" width="59.5703125" style="81" customWidth="1"/>
    <col min="6120" max="6120" width="9.140625" style="81" customWidth="1"/>
    <col min="6121" max="6122" width="3.85546875" style="81" customWidth="1"/>
    <col min="6123" max="6123" width="10.5703125" style="81" customWidth="1"/>
    <col min="6124" max="6124" width="3.85546875" style="81" customWidth="1"/>
    <col min="6125" max="6127" width="14.42578125" style="81" customWidth="1"/>
    <col min="6128" max="6128" width="4.140625" style="81" customWidth="1"/>
    <col min="6129" max="6129" width="15" style="81" customWidth="1"/>
    <col min="6130" max="6131" width="9.140625" style="81" customWidth="1"/>
    <col min="6132" max="6132" width="11.5703125" style="81" customWidth="1"/>
    <col min="6133" max="6133" width="18.140625" style="81" customWidth="1"/>
    <col min="6134" max="6134" width="13.140625" style="81" customWidth="1"/>
    <col min="6135" max="6135" width="12.28515625" style="81" customWidth="1"/>
    <col min="6136" max="6373" width="9.140625" style="81"/>
    <col min="6374" max="6374" width="1.42578125" style="81" customWidth="1"/>
    <col min="6375" max="6375" width="59.5703125" style="81" customWidth="1"/>
    <col min="6376" max="6376" width="9.140625" style="81" customWidth="1"/>
    <col min="6377" max="6378" width="3.85546875" style="81" customWidth="1"/>
    <col min="6379" max="6379" width="10.5703125" style="81" customWidth="1"/>
    <col min="6380" max="6380" width="3.85546875" style="81" customWidth="1"/>
    <col min="6381" max="6383" width="14.42578125" style="81" customWidth="1"/>
    <col min="6384" max="6384" width="4.140625" style="81" customWidth="1"/>
    <col min="6385" max="6385" width="15" style="81" customWidth="1"/>
    <col min="6386" max="6387" width="9.140625" style="81" customWidth="1"/>
    <col min="6388" max="6388" width="11.5703125" style="81" customWidth="1"/>
    <col min="6389" max="6389" width="18.140625" style="81" customWidth="1"/>
    <col min="6390" max="6390" width="13.140625" style="81" customWidth="1"/>
    <col min="6391" max="6391" width="12.28515625" style="81" customWidth="1"/>
    <col min="6392" max="6629" width="9.140625" style="81"/>
    <col min="6630" max="6630" width="1.42578125" style="81" customWidth="1"/>
    <col min="6631" max="6631" width="59.5703125" style="81" customWidth="1"/>
    <col min="6632" max="6632" width="9.140625" style="81" customWidth="1"/>
    <col min="6633" max="6634" width="3.85546875" style="81" customWidth="1"/>
    <col min="6635" max="6635" width="10.5703125" style="81" customWidth="1"/>
    <col min="6636" max="6636" width="3.85546875" style="81" customWidth="1"/>
    <col min="6637" max="6639" width="14.42578125" style="81" customWidth="1"/>
    <col min="6640" max="6640" width="4.140625" style="81" customWidth="1"/>
    <col min="6641" max="6641" width="15" style="81" customWidth="1"/>
    <col min="6642" max="6643" width="9.140625" style="81" customWidth="1"/>
    <col min="6644" max="6644" width="11.5703125" style="81" customWidth="1"/>
    <col min="6645" max="6645" width="18.140625" style="81" customWidth="1"/>
    <col min="6646" max="6646" width="13.140625" style="81" customWidth="1"/>
    <col min="6647" max="6647" width="12.28515625" style="81" customWidth="1"/>
    <col min="6648" max="6885" width="9.140625" style="81"/>
    <col min="6886" max="6886" width="1.42578125" style="81" customWidth="1"/>
    <col min="6887" max="6887" width="59.5703125" style="81" customWidth="1"/>
    <col min="6888" max="6888" width="9.140625" style="81" customWidth="1"/>
    <col min="6889" max="6890" width="3.85546875" style="81" customWidth="1"/>
    <col min="6891" max="6891" width="10.5703125" style="81" customWidth="1"/>
    <col min="6892" max="6892" width="3.85546875" style="81" customWidth="1"/>
    <col min="6893" max="6895" width="14.42578125" style="81" customWidth="1"/>
    <col min="6896" max="6896" width="4.140625" style="81" customWidth="1"/>
    <col min="6897" max="6897" width="15" style="81" customWidth="1"/>
    <col min="6898" max="6899" width="9.140625" style="81" customWidth="1"/>
    <col min="6900" max="6900" width="11.5703125" style="81" customWidth="1"/>
    <col min="6901" max="6901" width="18.140625" style="81" customWidth="1"/>
    <col min="6902" max="6902" width="13.140625" style="81" customWidth="1"/>
    <col min="6903" max="6903" width="12.28515625" style="81" customWidth="1"/>
    <col min="6904" max="7141" width="9.140625" style="81"/>
    <col min="7142" max="7142" width="1.42578125" style="81" customWidth="1"/>
    <col min="7143" max="7143" width="59.5703125" style="81" customWidth="1"/>
    <col min="7144" max="7144" width="9.140625" style="81" customWidth="1"/>
    <col min="7145" max="7146" width="3.85546875" style="81" customWidth="1"/>
    <col min="7147" max="7147" width="10.5703125" style="81" customWidth="1"/>
    <col min="7148" max="7148" width="3.85546875" style="81" customWidth="1"/>
    <col min="7149" max="7151" width="14.42578125" style="81" customWidth="1"/>
    <col min="7152" max="7152" width="4.140625" style="81" customWidth="1"/>
    <col min="7153" max="7153" width="15" style="81" customWidth="1"/>
    <col min="7154" max="7155" width="9.140625" style="81" customWidth="1"/>
    <col min="7156" max="7156" width="11.5703125" style="81" customWidth="1"/>
    <col min="7157" max="7157" width="18.140625" style="81" customWidth="1"/>
    <col min="7158" max="7158" width="13.140625" style="81" customWidth="1"/>
    <col min="7159" max="7159" width="12.28515625" style="81" customWidth="1"/>
    <col min="7160" max="7397" width="9.140625" style="81"/>
    <col min="7398" max="7398" width="1.42578125" style="81" customWidth="1"/>
    <col min="7399" max="7399" width="59.5703125" style="81" customWidth="1"/>
    <col min="7400" max="7400" width="9.140625" style="81" customWidth="1"/>
    <col min="7401" max="7402" width="3.85546875" style="81" customWidth="1"/>
    <col min="7403" max="7403" width="10.5703125" style="81" customWidth="1"/>
    <col min="7404" max="7404" width="3.85546875" style="81" customWidth="1"/>
    <col min="7405" max="7407" width="14.42578125" style="81" customWidth="1"/>
    <col min="7408" max="7408" width="4.140625" style="81" customWidth="1"/>
    <col min="7409" max="7409" width="15" style="81" customWidth="1"/>
    <col min="7410" max="7411" width="9.140625" style="81" customWidth="1"/>
    <col min="7412" max="7412" width="11.5703125" style="81" customWidth="1"/>
    <col min="7413" max="7413" width="18.140625" style="81" customWidth="1"/>
    <col min="7414" max="7414" width="13.140625" style="81" customWidth="1"/>
    <col min="7415" max="7415" width="12.28515625" style="81" customWidth="1"/>
    <col min="7416" max="7653" width="9.140625" style="81"/>
    <col min="7654" max="7654" width="1.42578125" style="81" customWidth="1"/>
    <col min="7655" max="7655" width="59.5703125" style="81" customWidth="1"/>
    <col min="7656" max="7656" width="9.140625" style="81" customWidth="1"/>
    <col min="7657" max="7658" width="3.85546875" style="81" customWidth="1"/>
    <col min="7659" max="7659" width="10.5703125" style="81" customWidth="1"/>
    <col min="7660" max="7660" width="3.85546875" style="81" customWidth="1"/>
    <col min="7661" max="7663" width="14.42578125" style="81" customWidth="1"/>
    <col min="7664" max="7664" width="4.140625" style="81" customWidth="1"/>
    <col min="7665" max="7665" width="15" style="81" customWidth="1"/>
    <col min="7666" max="7667" width="9.140625" style="81" customWidth="1"/>
    <col min="7668" max="7668" width="11.5703125" style="81" customWidth="1"/>
    <col min="7669" max="7669" width="18.140625" style="81" customWidth="1"/>
    <col min="7670" max="7670" width="13.140625" style="81" customWidth="1"/>
    <col min="7671" max="7671" width="12.28515625" style="81" customWidth="1"/>
    <col min="7672" max="7909" width="9.140625" style="81"/>
    <col min="7910" max="7910" width="1.42578125" style="81" customWidth="1"/>
    <col min="7911" max="7911" width="59.5703125" style="81" customWidth="1"/>
    <col min="7912" max="7912" width="9.140625" style="81" customWidth="1"/>
    <col min="7913" max="7914" width="3.85546875" style="81" customWidth="1"/>
    <col min="7915" max="7915" width="10.5703125" style="81" customWidth="1"/>
    <col min="7916" max="7916" width="3.85546875" style="81" customWidth="1"/>
    <col min="7917" max="7919" width="14.42578125" style="81" customWidth="1"/>
    <col min="7920" max="7920" width="4.140625" style="81" customWidth="1"/>
    <col min="7921" max="7921" width="15" style="81" customWidth="1"/>
    <col min="7922" max="7923" width="9.140625" style="81" customWidth="1"/>
    <col min="7924" max="7924" width="11.5703125" style="81" customWidth="1"/>
    <col min="7925" max="7925" width="18.140625" style="81" customWidth="1"/>
    <col min="7926" max="7926" width="13.140625" style="81" customWidth="1"/>
    <col min="7927" max="7927" width="12.28515625" style="81" customWidth="1"/>
    <col min="7928" max="8165" width="9.140625" style="81"/>
    <col min="8166" max="8166" width="1.42578125" style="81" customWidth="1"/>
    <col min="8167" max="8167" width="59.5703125" style="81" customWidth="1"/>
    <col min="8168" max="8168" width="9.140625" style="81" customWidth="1"/>
    <col min="8169" max="8170" width="3.85546875" style="81" customWidth="1"/>
    <col min="8171" max="8171" width="10.5703125" style="81" customWidth="1"/>
    <col min="8172" max="8172" width="3.85546875" style="81" customWidth="1"/>
    <col min="8173" max="8175" width="14.42578125" style="81" customWidth="1"/>
    <col min="8176" max="8176" width="4.140625" style="81" customWidth="1"/>
    <col min="8177" max="8177" width="15" style="81" customWidth="1"/>
    <col min="8178" max="8179" width="9.140625" style="81" customWidth="1"/>
    <col min="8180" max="8180" width="11.5703125" style="81" customWidth="1"/>
    <col min="8181" max="8181" width="18.140625" style="81" customWidth="1"/>
    <col min="8182" max="8182" width="13.140625" style="81" customWidth="1"/>
    <col min="8183" max="8183" width="12.28515625" style="81" customWidth="1"/>
    <col min="8184" max="8421" width="9.140625" style="81"/>
    <col min="8422" max="8422" width="1.42578125" style="81" customWidth="1"/>
    <col min="8423" max="8423" width="59.5703125" style="81" customWidth="1"/>
    <col min="8424" max="8424" width="9.140625" style="81" customWidth="1"/>
    <col min="8425" max="8426" width="3.85546875" style="81" customWidth="1"/>
    <col min="8427" max="8427" width="10.5703125" style="81" customWidth="1"/>
    <col min="8428" max="8428" width="3.85546875" style="81" customWidth="1"/>
    <col min="8429" max="8431" width="14.42578125" style="81" customWidth="1"/>
    <col min="8432" max="8432" width="4.140625" style="81" customWidth="1"/>
    <col min="8433" max="8433" width="15" style="81" customWidth="1"/>
    <col min="8434" max="8435" width="9.140625" style="81" customWidth="1"/>
    <col min="8436" max="8436" width="11.5703125" style="81" customWidth="1"/>
    <col min="8437" max="8437" width="18.140625" style="81" customWidth="1"/>
    <col min="8438" max="8438" width="13.140625" style="81" customWidth="1"/>
    <col min="8439" max="8439" width="12.28515625" style="81" customWidth="1"/>
    <col min="8440" max="8677" width="9.140625" style="81"/>
    <col min="8678" max="8678" width="1.42578125" style="81" customWidth="1"/>
    <col min="8679" max="8679" width="59.5703125" style="81" customWidth="1"/>
    <col min="8680" max="8680" width="9.140625" style="81" customWidth="1"/>
    <col min="8681" max="8682" width="3.85546875" style="81" customWidth="1"/>
    <col min="8683" max="8683" width="10.5703125" style="81" customWidth="1"/>
    <col min="8684" max="8684" width="3.85546875" style="81" customWidth="1"/>
    <col min="8685" max="8687" width="14.42578125" style="81" customWidth="1"/>
    <col min="8688" max="8688" width="4.140625" style="81" customWidth="1"/>
    <col min="8689" max="8689" width="15" style="81" customWidth="1"/>
    <col min="8690" max="8691" width="9.140625" style="81" customWidth="1"/>
    <col min="8692" max="8692" width="11.5703125" style="81" customWidth="1"/>
    <col min="8693" max="8693" width="18.140625" style="81" customWidth="1"/>
    <col min="8694" max="8694" width="13.140625" style="81" customWidth="1"/>
    <col min="8695" max="8695" width="12.28515625" style="81" customWidth="1"/>
    <col min="8696" max="8933" width="9.140625" style="81"/>
    <col min="8934" max="8934" width="1.42578125" style="81" customWidth="1"/>
    <col min="8935" max="8935" width="59.5703125" style="81" customWidth="1"/>
    <col min="8936" max="8936" width="9.140625" style="81" customWidth="1"/>
    <col min="8937" max="8938" width="3.85546875" style="81" customWidth="1"/>
    <col min="8939" max="8939" width="10.5703125" style="81" customWidth="1"/>
    <col min="8940" max="8940" width="3.85546875" style="81" customWidth="1"/>
    <col min="8941" max="8943" width="14.42578125" style="81" customWidth="1"/>
    <col min="8944" max="8944" width="4.140625" style="81" customWidth="1"/>
    <col min="8945" max="8945" width="15" style="81" customWidth="1"/>
    <col min="8946" max="8947" width="9.140625" style="81" customWidth="1"/>
    <col min="8948" max="8948" width="11.5703125" style="81" customWidth="1"/>
    <col min="8949" max="8949" width="18.140625" style="81" customWidth="1"/>
    <col min="8950" max="8950" width="13.140625" style="81" customWidth="1"/>
    <col min="8951" max="8951" width="12.28515625" style="81" customWidth="1"/>
    <col min="8952" max="9189" width="9.140625" style="81"/>
    <col min="9190" max="9190" width="1.42578125" style="81" customWidth="1"/>
    <col min="9191" max="9191" width="59.5703125" style="81" customWidth="1"/>
    <col min="9192" max="9192" width="9.140625" style="81" customWidth="1"/>
    <col min="9193" max="9194" width="3.85546875" style="81" customWidth="1"/>
    <col min="9195" max="9195" width="10.5703125" style="81" customWidth="1"/>
    <col min="9196" max="9196" width="3.85546875" style="81" customWidth="1"/>
    <col min="9197" max="9199" width="14.42578125" style="81" customWidth="1"/>
    <col min="9200" max="9200" width="4.140625" style="81" customWidth="1"/>
    <col min="9201" max="9201" width="15" style="81" customWidth="1"/>
    <col min="9202" max="9203" width="9.140625" style="81" customWidth="1"/>
    <col min="9204" max="9204" width="11.5703125" style="81" customWidth="1"/>
    <col min="9205" max="9205" width="18.140625" style="81" customWidth="1"/>
    <col min="9206" max="9206" width="13.140625" style="81" customWidth="1"/>
    <col min="9207" max="9207" width="12.28515625" style="81" customWidth="1"/>
    <col min="9208" max="9445" width="9.140625" style="81"/>
    <col min="9446" max="9446" width="1.42578125" style="81" customWidth="1"/>
    <col min="9447" max="9447" width="59.5703125" style="81" customWidth="1"/>
    <col min="9448" max="9448" width="9.140625" style="81" customWidth="1"/>
    <col min="9449" max="9450" width="3.85546875" style="81" customWidth="1"/>
    <col min="9451" max="9451" width="10.5703125" style="81" customWidth="1"/>
    <col min="9452" max="9452" width="3.85546875" style="81" customWidth="1"/>
    <col min="9453" max="9455" width="14.42578125" style="81" customWidth="1"/>
    <col min="9456" max="9456" width="4.140625" style="81" customWidth="1"/>
    <col min="9457" max="9457" width="15" style="81" customWidth="1"/>
    <col min="9458" max="9459" width="9.140625" style="81" customWidth="1"/>
    <col min="9460" max="9460" width="11.5703125" style="81" customWidth="1"/>
    <col min="9461" max="9461" width="18.140625" style="81" customWidth="1"/>
    <col min="9462" max="9462" width="13.140625" style="81" customWidth="1"/>
    <col min="9463" max="9463" width="12.28515625" style="81" customWidth="1"/>
    <col min="9464" max="9701" width="9.140625" style="81"/>
    <col min="9702" max="9702" width="1.42578125" style="81" customWidth="1"/>
    <col min="9703" max="9703" width="59.5703125" style="81" customWidth="1"/>
    <col min="9704" max="9704" width="9.140625" style="81" customWidth="1"/>
    <col min="9705" max="9706" width="3.85546875" style="81" customWidth="1"/>
    <col min="9707" max="9707" width="10.5703125" style="81" customWidth="1"/>
    <col min="9708" max="9708" width="3.85546875" style="81" customWidth="1"/>
    <col min="9709" max="9711" width="14.42578125" style="81" customWidth="1"/>
    <col min="9712" max="9712" width="4.140625" style="81" customWidth="1"/>
    <col min="9713" max="9713" width="15" style="81" customWidth="1"/>
    <col min="9714" max="9715" width="9.140625" style="81" customWidth="1"/>
    <col min="9716" max="9716" width="11.5703125" style="81" customWidth="1"/>
    <col min="9717" max="9717" width="18.140625" style="81" customWidth="1"/>
    <col min="9718" max="9718" width="13.140625" style="81" customWidth="1"/>
    <col min="9719" max="9719" width="12.28515625" style="81" customWidth="1"/>
    <col min="9720" max="9957" width="9.140625" style="81"/>
    <col min="9958" max="9958" width="1.42578125" style="81" customWidth="1"/>
    <col min="9959" max="9959" width="59.5703125" style="81" customWidth="1"/>
    <col min="9960" max="9960" width="9.140625" style="81" customWidth="1"/>
    <col min="9961" max="9962" width="3.85546875" style="81" customWidth="1"/>
    <col min="9963" max="9963" width="10.5703125" style="81" customWidth="1"/>
    <col min="9964" max="9964" width="3.85546875" style="81" customWidth="1"/>
    <col min="9965" max="9967" width="14.42578125" style="81" customWidth="1"/>
    <col min="9968" max="9968" width="4.140625" style="81" customWidth="1"/>
    <col min="9969" max="9969" width="15" style="81" customWidth="1"/>
    <col min="9970" max="9971" width="9.140625" style="81" customWidth="1"/>
    <col min="9972" max="9972" width="11.5703125" style="81" customWidth="1"/>
    <col min="9973" max="9973" width="18.140625" style="81" customWidth="1"/>
    <col min="9974" max="9974" width="13.140625" style="81" customWidth="1"/>
    <col min="9975" max="9975" width="12.28515625" style="81" customWidth="1"/>
    <col min="9976" max="10213" width="9.140625" style="81"/>
    <col min="10214" max="10214" width="1.42578125" style="81" customWidth="1"/>
    <col min="10215" max="10215" width="59.5703125" style="81" customWidth="1"/>
    <col min="10216" max="10216" width="9.140625" style="81" customWidth="1"/>
    <col min="10217" max="10218" width="3.85546875" style="81" customWidth="1"/>
    <col min="10219" max="10219" width="10.5703125" style="81" customWidth="1"/>
    <col min="10220" max="10220" width="3.85546875" style="81" customWidth="1"/>
    <col min="10221" max="10223" width="14.42578125" style="81" customWidth="1"/>
    <col min="10224" max="10224" width="4.140625" style="81" customWidth="1"/>
    <col min="10225" max="10225" width="15" style="81" customWidth="1"/>
    <col min="10226" max="10227" width="9.140625" style="81" customWidth="1"/>
    <col min="10228" max="10228" width="11.5703125" style="81" customWidth="1"/>
    <col min="10229" max="10229" width="18.140625" style="81" customWidth="1"/>
    <col min="10230" max="10230" width="13.140625" style="81" customWidth="1"/>
    <col min="10231" max="10231" width="12.28515625" style="81" customWidth="1"/>
    <col min="10232" max="10469" width="9.140625" style="81"/>
    <col min="10470" max="10470" width="1.42578125" style="81" customWidth="1"/>
    <col min="10471" max="10471" width="59.5703125" style="81" customWidth="1"/>
    <col min="10472" max="10472" width="9.140625" style="81" customWidth="1"/>
    <col min="10473" max="10474" width="3.85546875" style="81" customWidth="1"/>
    <col min="10475" max="10475" width="10.5703125" style="81" customWidth="1"/>
    <col min="10476" max="10476" width="3.85546875" style="81" customWidth="1"/>
    <col min="10477" max="10479" width="14.42578125" style="81" customWidth="1"/>
    <col min="10480" max="10480" width="4.140625" style="81" customWidth="1"/>
    <col min="10481" max="10481" width="15" style="81" customWidth="1"/>
    <col min="10482" max="10483" width="9.140625" style="81" customWidth="1"/>
    <col min="10484" max="10484" width="11.5703125" style="81" customWidth="1"/>
    <col min="10485" max="10485" width="18.140625" style="81" customWidth="1"/>
    <col min="10486" max="10486" width="13.140625" style="81" customWidth="1"/>
    <col min="10487" max="10487" width="12.28515625" style="81" customWidth="1"/>
    <col min="10488" max="10725" width="9.140625" style="81"/>
    <col min="10726" max="10726" width="1.42578125" style="81" customWidth="1"/>
    <col min="10727" max="10727" width="59.5703125" style="81" customWidth="1"/>
    <col min="10728" max="10728" width="9.140625" style="81" customWidth="1"/>
    <col min="10729" max="10730" width="3.85546875" style="81" customWidth="1"/>
    <col min="10731" max="10731" width="10.5703125" style="81" customWidth="1"/>
    <col min="10732" max="10732" width="3.85546875" style="81" customWidth="1"/>
    <col min="10733" max="10735" width="14.42578125" style="81" customWidth="1"/>
    <col min="10736" max="10736" width="4.140625" style="81" customWidth="1"/>
    <col min="10737" max="10737" width="15" style="81" customWidth="1"/>
    <col min="10738" max="10739" width="9.140625" style="81" customWidth="1"/>
    <col min="10740" max="10740" width="11.5703125" style="81" customWidth="1"/>
    <col min="10741" max="10741" width="18.140625" style="81" customWidth="1"/>
    <col min="10742" max="10742" width="13.140625" style="81" customWidth="1"/>
    <col min="10743" max="10743" width="12.28515625" style="81" customWidth="1"/>
    <col min="10744" max="10981" width="9.140625" style="81"/>
    <col min="10982" max="10982" width="1.42578125" style="81" customWidth="1"/>
    <col min="10983" max="10983" width="59.5703125" style="81" customWidth="1"/>
    <col min="10984" max="10984" width="9.140625" style="81" customWidth="1"/>
    <col min="10985" max="10986" width="3.85546875" style="81" customWidth="1"/>
    <col min="10987" max="10987" width="10.5703125" style="81" customWidth="1"/>
    <col min="10988" max="10988" width="3.85546875" style="81" customWidth="1"/>
    <col min="10989" max="10991" width="14.42578125" style="81" customWidth="1"/>
    <col min="10992" max="10992" width="4.140625" style="81" customWidth="1"/>
    <col min="10993" max="10993" width="15" style="81" customWidth="1"/>
    <col min="10994" max="10995" width="9.140625" style="81" customWidth="1"/>
    <col min="10996" max="10996" width="11.5703125" style="81" customWidth="1"/>
    <col min="10997" max="10997" width="18.140625" style="81" customWidth="1"/>
    <col min="10998" max="10998" width="13.140625" style="81" customWidth="1"/>
    <col min="10999" max="10999" width="12.28515625" style="81" customWidth="1"/>
    <col min="11000" max="11237" width="9.140625" style="81"/>
    <col min="11238" max="11238" width="1.42578125" style="81" customWidth="1"/>
    <col min="11239" max="11239" width="59.5703125" style="81" customWidth="1"/>
    <col min="11240" max="11240" width="9.140625" style="81" customWidth="1"/>
    <col min="11241" max="11242" width="3.85546875" style="81" customWidth="1"/>
    <col min="11243" max="11243" width="10.5703125" style="81" customWidth="1"/>
    <col min="11244" max="11244" width="3.85546875" style="81" customWidth="1"/>
    <col min="11245" max="11247" width="14.42578125" style="81" customWidth="1"/>
    <col min="11248" max="11248" width="4.140625" style="81" customWidth="1"/>
    <col min="11249" max="11249" width="15" style="81" customWidth="1"/>
    <col min="11250" max="11251" width="9.140625" style="81" customWidth="1"/>
    <col min="11252" max="11252" width="11.5703125" style="81" customWidth="1"/>
    <col min="11253" max="11253" width="18.140625" style="81" customWidth="1"/>
    <col min="11254" max="11254" width="13.140625" style="81" customWidth="1"/>
    <col min="11255" max="11255" width="12.28515625" style="81" customWidth="1"/>
    <col min="11256" max="11493" width="9.140625" style="81"/>
    <col min="11494" max="11494" width="1.42578125" style="81" customWidth="1"/>
    <col min="11495" max="11495" width="59.5703125" style="81" customWidth="1"/>
    <col min="11496" max="11496" width="9.140625" style="81" customWidth="1"/>
    <col min="11497" max="11498" width="3.85546875" style="81" customWidth="1"/>
    <col min="11499" max="11499" width="10.5703125" style="81" customWidth="1"/>
    <col min="11500" max="11500" width="3.85546875" style="81" customWidth="1"/>
    <col min="11501" max="11503" width="14.42578125" style="81" customWidth="1"/>
    <col min="11504" max="11504" width="4.140625" style="81" customWidth="1"/>
    <col min="11505" max="11505" width="15" style="81" customWidth="1"/>
    <col min="11506" max="11507" width="9.140625" style="81" customWidth="1"/>
    <col min="11508" max="11508" width="11.5703125" style="81" customWidth="1"/>
    <col min="11509" max="11509" width="18.140625" style="81" customWidth="1"/>
    <col min="11510" max="11510" width="13.140625" style="81" customWidth="1"/>
    <col min="11511" max="11511" width="12.28515625" style="81" customWidth="1"/>
    <col min="11512" max="11749" width="9.140625" style="81"/>
    <col min="11750" max="11750" width="1.42578125" style="81" customWidth="1"/>
    <col min="11751" max="11751" width="59.5703125" style="81" customWidth="1"/>
    <col min="11752" max="11752" width="9.140625" style="81" customWidth="1"/>
    <col min="11753" max="11754" width="3.85546875" style="81" customWidth="1"/>
    <col min="11755" max="11755" width="10.5703125" style="81" customWidth="1"/>
    <col min="11756" max="11756" width="3.85546875" style="81" customWidth="1"/>
    <col min="11757" max="11759" width="14.42578125" style="81" customWidth="1"/>
    <col min="11760" max="11760" width="4.140625" style="81" customWidth="1"/>
    <col min="11761" max="11761" width="15" style="81" customWidth="1"/>
    <col min="11762" max="11763" width="9.140625" style="81" customWidth="1"/>
    <col min="11764" max="11764" width="11.5703125" style="81" customWidth="1"/>
    <col min="11765" max="11765" width="18.140625" style="81" customWidth="1"/>
    <col min="11766" max="11766" width="13.140625" style="81" customWidth="1"/>
    <col min="11767" max="11767" width="12.28515625" style="81" customWidth="1"/>
    <col min="11768" max="12005" width="9.140625" style="81"/>
    <col min="12006" max="12006" width="1.42578125" style="81" customWidth="1"/>
    <col min="12007" max="12007" width="59.5703125" style="81" customWidth="1"/>
    <col min="12008" max="12008" width="9.140625" style="81" customWidth="1"/>
    <col min="12009" max="12010" width="3.85546875" style="81" customWidth="1"/>
    <col min="12011" max="12011" width="10.5703125" style="81" customWidth="1"/>
    <col min="12012" max="12012" width="3.85546875" style="81" customWidth="1"/>
    <col min="12013" max="12015" width="14.42578125" style="81" customWidth="1"/>
    <col min="12016" max="12016" width="4.140625" style="81" customWidth="1"/>
    <col min="12017" max="12017" width="15" style="81" customWidth="1"/>
    <col min="12018" max="12019" width="9.140625" style="81" customWidth="1"/>
    <col min="12020" max="12020" width="11.5703125" style="81" customWidth="1"/>
    <col min="12021" max="12021" width="18.140625" style="81" customWidth="1"/>
    <col min="12022" max="12022" width="13.140625" style="81" customWidth="1"/>
    <col min="12023" max="12023" width="12.28515625" style="81" customWidth="1"/>
    <col min="12024" max="12261" width="9.140625" style="81"/>
    <col min="12262" max="12262" width="1.42578125" style="81" customWidth="1"/>
    <col min="12263" max="12263" width="59.5703125" style="81" customWidth="1"/>
    <col min="12264" max="12264" width="9.140625" style="81" customWidth="1"/>
    <col min="12265" max="12266" width="3.85546875" style="81" customWidth="1"/>
    <col min="12267" max="12267" width="10.5703125" style="81" customWidth="1"/>
    <col min="12268" max="12268" width="3.85546875" style="81" customWidth="1"/>
    <col min="12269" max="12271" width="14.42578125" style="81" customWidth="1"/>
    <col min="12272" max="12272" width="4.140625" style="81" customWidth="1"/>
    <col min="12273" max="12273" width="15" style="81" customWidth="1"/>
    <col min="12274" max="12275" width="9.140625" style="81" customWidth="1"/>
    <col min="12276" max="12276" width="11.5703125" style="81" customWidth="1"/>
    <col min="12277" max="12277" width="18.140625" style="81" customWidth="1"/>
    <col min="12278" max="12278" width="13.140625" style="81" customWidth="1"/>
    <col min="12279" max="12279" width="12.28515625" style="81" customWidth="1"/>
    <col min="12280" max="12517" width="9.140625" style="81"/>
    <col min="12518" max="12518" width="1.42578125" style="81" customWidth="1"/>
    <col min="12519" max="12519" width="59.5703125" style="81" customWidth="1"/>
    <col min="12520" max="12520" width="9.140625" style="81" customWidth="1"/>
    <col min="12521" max="12522" width="3.85546875" style="81" customWidth="1"/>
    <col min="12523" max="12523" width="10.5703125" style="81" customWidth="1"/>
    <col min="12524" max="12524" width="3.85546875" style="81" customWidth="1"/>
    <col min="12525" max="12527" width="14.42578125" style="81" customWidth="1"/>
    <col min="12528" max="12528" width="4.140625" style="81" customWidth="1"/>
    <col min="12529" max="12529" width="15" style="81" customWidth="1"/>
    <col min="12530" max="12531" width="9.140625" style="81" customWidth="1"/>
    <col min="12532" max="12532" width="11.5703125" style="81" customWidth="1"/>
    <col min="12533" max="12533" width="18.140625" style="81" customWidth="1"/>
    <col min="12534" max="12534" width="13.140625" style="81" customWidth="1"/>
    <col min="12535" max="12535" width="12.28515625" style="81" customWidth="1"/>
    <col min="12536" max="12773" width="9.140625" style="81"/>
    <col min="12774" max="12774" width="1.42578125" style="81" customWidth="1"/>
    <col min="12775" max="12775" width="59.5703125" style="81" customWidth="1"/>
    <col min="12776" max="12776" width="9.140625" style="81" customWidth="1"/>
    <col min="12777" max="12778" width="3.85546875" style="81" customWidth="1"/>
    <col min="12779" max="12779" width="10.5703125" style="81" customWidth="1"/>
    <col min="12780" max="12780" width="3.85546875" style="81" customWidth="1"/>
    <col min="12781" max="12783" width="14.42578125" style="81" customWidth="1"/>
    <col min="12784" max="12784" width="4.140625" style="81" customWidth="1"/>
    <col min="12785" max="12785" width="15" style="81" customWidth="1"/>
    <col min="12786" max="12787" width="9.140625" style="81" customWidth="1"/>
    <col min="12788" max="12788" width="11.5703125" style="81" customWidth="1"/>
    <col min="12789" max="12789" width="18.140625" style="81" customWidth="1"/>
    <col min="12790" max="12790" width="13.140625" style="81" customWidth="1"/>
    <col min="12791" max="12791" width="12.28515625" style="81" customWidth="1"/>
    <col min="12792" max="13029" width="9.140625" style="81"/>
    <col min="13030" max="13030" width="1.42578125" style="81" customWidth="1"/>
    <col min="13031" max="13031" width="59.5703125" style="81" customWidth="1"/>
    <col min="13032" max="13032" width="9.140625" style="81" customWidth="1"/>
    <col min="13033" max="13034" width="3.85546875" style="81" customWidth="1"/>
    <col min="13035" max="13035" width="10.5703125" style="81" customWidth="1"/>
    <col min="13036" max="13036" width="3.85546875" style="81" customWidth="1"/>
    <col min="13037" max="13039" width="14.42578125" style="81" customWidth="1"/>
    <col min="13040" max="13040" width="4.140625" style="81" customWidth="1"/>
    <col min="13041" max="13041" width="15" style="81" customWidth="1"/>
    <col min="13042" max="13043" width="9.140625" style="81" customWidth="1"/>
    <col min="13044" max="13044" width="11.5703125" style="81" customWidth="1"/>
    <col min="13045" max="13045" width="18.140625" style="81" customWidth="1"/>
    <col min="13046" max="13046" width="13.140625" style="81" customWidth="1"/>
    <col min="13047" max="13047" width="12.28515625" style="81" customWidth="1"/>
    <col min="13048" max="13285" width="9.140625" style="81"/>
    <col min="13286" max="13286" width="1.42578125" style="81" customWidth="1"/>
    <col min="13287" max="13287" width="59.5703125" style="81" customWidth="1"/>
    <col min="13288" max="13288" width="9.140625" style="81" customWidth="1"/>
    <col min="13289" max="13290" width="3.85546875" style="81" customWidth="1"/>
    <col min="13291" max="13291" width="10.5703125" style="81" customWidth="1"/>
    <col min="13292" max="13292" width="3.85546875" style="81" customWidth="1"/>
    <col min="13293" max="13295" width="14.42578125" style="81" customWidth="1"/>
    <col min="13296" max="13296" width="4.140625" style="81" customWidth="1"/>
    <col min="13297" max="13297" width="15" style="81" customWidth="1"/>
    <col min="13298" max="13299" width="9.140625" style="81" customWidth="1"/>
    <col min="13300" max="13300" width="11.5703125" style="81" customWidth="1"/>
    <col min="13301" max="13301" width="18.140625" style="81" customWidth="1"/>
    <col min="13302" max="13302" width="13.140625" style="81" customWidth="1"/>
    <col min="13303" max="13303" width="12.28515625" style="81" customWidth="1"/>
    <col min="13304" max="13541" width="9.140625" style="81"/>
    <col min="13542" max="13542" width="1.42578125" style="81" customWidth="1"/>
    <col min="13543" max="13543" width="59.5703125" style="81" customWidth="1"/>
    <col min="13544" max="13544" width="9.140625" style="81" customWidth="1"/>
    <col min="13545" max="13546" width="3.85546875" style="81" customWidth="1"/>
    <col min="13547" max="13547" width="10.5703125" style="81" customWidth="1"/>
    <col min="13548" max="13548" width="3.85546875" style="81" customWidth="1"/>
    <col min="13549" max="13551" width="14.42578125" style="81" customWidth="1"/>
    <col min="13552" max="13552" width="4.140625" style="81" customWidth="1"/>
    <col min="13553" max="13553" width="15" style="81" customWidth="1"/>
    <col min="13554" max="13555" width="9.140625" style="81" customWidth="1"/>
    <col min="13556" max="13556" width="11.5703125" style="81" customWidth="1"/>
    <col min="13557" max="13557" width="18.140625" style="81" customWidth="1"/>
    <col min="13558" max="13558" width="13.140625" style="81" customWidth="1"/>
    <col min="13559" max="13559" width="12.28515625" style="81" customWidth="1"/>
    <col min="13560" max="13797" width="9.140625" style="81"/>
    <col min="13798" max="13798" width="1.42578125" style="81" customWidth="1"/>
    <col min="13799" max="13799" width="59.5703125" style="81" customWidth="1"/>
    <col min="13800" max="13800" width="9.140625" style="81" customWidth="1"/>
    <col min="13801" max="13802" width="3.85546875" style="81" customWidth="1"/>
    <col min="13803" max="13803" width="10.5703125" style="81" customWidth="1"/>
    <col min="13804" max="13804" width="3.85546875" style="81" customWidth="1"/>
    <col min="13805" max="13807" width="14.42578125" style="81" customWidth="1"/>
    <col min="13808" max="13808" width="4.140625" style="81" customWidth="1"/>
    <col min="13809" max="13809" width="15" style="81" customWidth="1"/>
    <col min="13810" max="13811" width="9.140625" style="81" customWidth="1"/>
    <col min="13812" max="13812" width="11.5703125" style="81" customWidth="1"/>
    <col min="13813" max="13813" width="18.140625" style="81" customWidth="1"/>
    <col min="13814" max="13814" width="13.140625" style="81" customWidth="1"/>
    <col min="13815" max="13815" width="12.28515625" style="81" customWidth="1"/>
    <col min="13816" max="14053" width="9.140625" style="81"/>
    <col min="14054" max="14054" width="1.42578125" style="81" customWidth="1"/>
    <col min="14055" max="14055" width="59.5703125" style="81" customWidth="1"/>
    <col min="14056" max="14056" width="9.140625" style="81" customWidth="1"/>
    <col min="14057" max="14058" width="3.85546875" style="81" customWidth="1"/>
    <col min="14059" max="14059" width="10.5703125" style="81" customWidth="1"/>
    <col min="14060" max="14060" width="3.85546875" style="81" customWidth="1"/>
    <col min="14061" max="14063" width="14.42578125" style="81" customWidth="1"/>
    <col min="14064" max="14064" width="4.140625" style="81" customWidth="1"/>
    <col min="14065" max="14065" width="15" style="81" customWidth="1"/>
    <col min="14066" max="14067" width="9.140625" style="81" customWidth="1"/>
    <col min="14068" max="14068" width="11.5703125" style="81" customWidth="1"/>
    <col min="14069" max="14069" width="18.140625" style="81" customWidth="1"/>
    <col min="14070" max="14070" width="13.140625" style="81" customWidth="1"/>
    <col min="14071" max="14071" width="12.28515625" style="81" customWidth="1"/>
    <col min="14072" max="14309" width="9.140625" style="81"/>
    <col min="14310" max="14310" width="1.42578125" style="81" customWidth="1"/>
    <col min="14311" max="14311" width="59.5703125" style="81" customWidth="1"/>
    <col min="14312" max="14312" width="9.140625" style="81" customWidth="1"/>
    <col min="14313" max="14314" width="3.85546875" style="81" customWidth="1"/>
    <col min="14315" max="14315" width="10.5703125" style="81" customWidth="1"/>
    <col min="14316" max="14316" width="3.85546875" style="81" customWidth="1"/>
    <col min="14317" max="14319" width="14.42578125" style="81" customWidth="1"/>
    <col min="14320" max="14320" width="4.140625" style="81" customWidth="1"/>
    <col min="14321" max="14321" width="15" style="81" customWidth="1"/>
    <col min="14322" max="14323" width="9.140625" style="81" customWidth="1"/>
    <col min="14324" max="14324" width="11.5703125" style="81" customWidth="1"/>
    <col min="14325" max="14325" width="18.140625" style="81" customWidth="1"/>
    <col min="14326" max="14326" width="13.140625" style="81" customWidth="1"/>
    <col min="14327" max="14327" width="12.28515625" style="81" customWidth="1"/>
    <col min="14328" max="14565" width="9.140625" style="81"/>
    <col min="14566" max="14566" width="1.42578125" style="81" customWidth="1"/>
    <col min="14567" max="14567" width="59.5703125" style="81" customWidth="1"/>
    <col min="14568" max="14568" width="9.140625" style="81" customWidth="1"/>
    <col min="14569" max="14570" width="3.85546875" style="81" customWidth="1"/>
    <col min="14571" max="14571" width="10.5703125" style="81" customWidth="1"/>
    <col min="14572" max="14572" width="3.85546875" style="81" customWidth="1"/>
    <col min="14573" max="14575" width="14.42578125" style="81" customWidth="1"/>
    <col min="14576" max="14576" width="4.140625" style="81" customWidth="1"/>
    <col min="14577" max="14577" width="15" style="81" customWidth="1"/>
    <col min="14578" max="14579" width="9.140625" style="81" customWidth="1"/>
    <col min="14580" max="14580" width="11.5703125" style="81" customWidth="1"/>
    <col min="14581" max="14581" width="18.140625" style="81" customWidth="1"/>
    <col min="14582" max="14582" width="13.140625" style="81" customWidth="1"/>
    <col min="14583" max="14583" width="12.28515625" style="81" customWidth="1"/>
    <col min="14584" max="14821" width="9.140625" style="81"/>
    <col min="14822" max="14822" width="1.42578125" style="81" customWidth="1"/>
    <col min="14823" max="14823" width="59.5703125" style="81" customWidth="1"/>
    <col min="14824" max="14824" width="9.140625" style="81" customWidth="1"/>
    <col min="14825" max="14826" width="3.85546875" style="81" customWidth="1"/>
    <col min="14827" max="14827" width="10.5703125" style="81" customWidth="1"/>
    <col min="14828" max="14828" width="3.85546875" style="81" customWidth="1"/>
    <col min="14829" max="14831" width="14.42578125" style="81" customWidth="1"/>
    <col min="14832" max="14832" width="4.140625" style="81" customWidth="1"/>
    <col min="14833" max="14833" width="15" style="81" customWidth="1"/>
    <col min="14834" max="14835" width="9.140625" style="81" customWidth="1"/>
    <col min="14836" max="14836" width="11.5703125" style="81" customWidth="1"/>
    <col min="14837" max="14837" width="18.140625" style="81" customWidth="1"/>
    <col min="14838" max="14838" width="13.140625" style="81" customWidth="1"/>
    <col min="14839" max="14839" width="12.28515625" style="81" customWidth="1"/>
    <col min="14840" max="15077" width="9.140625" style="81"/>
    <col min="15078" max="15078" width="1.42578125" style="81" customWidth="1"/>
    <col min="15079" max="15079" width="59.5703125" style="81" customWidth="1"/>
    <col min="15080" max="15080" width="9.140625" style="81" customWidth="1"/>
    <col min="15081" max="15082" width="3.85546875" style="81" customWidth="1"/>
    <col min="15083" max="15083" width="10.5703125" style="81" customWidth="1"/>
    <col min="15084" max="15084" width="3.85546875" style="81" customWidth="1"/>
    <col min="15085" max="15087" width="14.42578125" style="81" customWidth="1"/>
    <col min="15088" max="15088" width="4.140625" style="81" customWidth="1"/>
    <col min="15089" max="15089" width="15" style="81" customWidth="1"/>
    <col min="15090" max="15091" width="9.140625" style="81" customWidth="1"/>
    <col min="15092" max="15092" width="11.5703125" style="81" customWidth="1"/>
    <col min="15093" max="15093" width="18.140625" style="81" customWidth="1"/>
    <col min="15094" max="15094" width="13.140625" style="81" customWidth="1"/>
    <col min="15095" max="15095" width="12.28515625" style="81" customWidth="1"/>
    <col min="15096" max="15333" width="9.140625" style="81"/>
    <col min="15334" max="15334" width="1.42578125" style="81" customWidth="1"/>
    <col min="15335" max="15335" width="59.5703125" style="81" customWidth="1"/>
    <col min="15336" max="15336" width="9.140625" style="81" customWidth="1"/>
    <col min="15337" max="15338" width="3.85546875" style="81" customWidth="1"/>
    <col min="15339" max="15339" width="10.5703125" style="81" customWidth="1"/>
    <col min="15340" max="15340" width="3.85546875" style="81" customWidth="1"/>
    <col min="15341" max="15343" width="14.42578125" style="81" customWidth="1"/>
    <col min="15344" max="15344" width="4.140625" style="81" customWidth="1"/>
    <col min="15345" max="15345" width="15" style="81" customWidth="1"/>
    <col min="15346" max="15347" width="9.140625" style="81" customWidth="1"/>
    <col min="15348" max="15348" width="11.5703125" style="81" customWidth="1"/>
    <col min="15349" max="15349" width="18.140625" style="81" customWidth="1"/>
    <col min="15350" max="15350" width="13.140625" style="81" customWidth="1"/>
    <col min="15351" max="15351" width="12.28515625" style="81" customWidth="1"/>
    <col min="15352" max="15589" width="9.140625" style="81"/>
    <col min="15590" max="15590" width="1.42578125" style="81" customWidth="1"/>
    <col min="15591" max="15591" width="59.5703125" style="81" customWidth="1"/>
    <col min="15592" max="15592" width="9.140625" style="81" customWidth="1"/>
    <col min="15593" max="15594" width="3.85546875" style="81" customWidth="1"/>
    <col min="15595" max="15595" width="10.5703125" style="81" customWidth="1"/>
    <col min="15596" max="15596" width="3.85546875" style="81" customWidth="1"/>
    <col min="15597" max="15599" width="14.42578125" style="81" customWidth="1"/>
    <col min="15600" max="15600" width="4.140625" style="81" customWidth="1"/>
    <col min="15601" max="15601" width="15" style="81" customWidth="1"/>
    <col min="15602" max="15603" width="9.140625" style="81" customWidth="1"/>
    <col min="15604" max="15604" width="11.5703125" style="81" customWidth="1"/>
    <col min="15605" max="15605" width="18.140625" style="81" customWidth="1"/>
    <col min="15606" max="15606" width="13.140625" style="81" customWidth="1"/>
    <col min="15607" max="15607" width="12.28515625" style="81" customWidth="1"/>
    <col min="15608" max="15845" width="9.140625" style="81"/>
    <col min="15846" max="15846" width="1.42578125" style="81" customWidth="1"/>
    <col min="15847" max="15847" width="59.5703125" style="81" customWidth="1"/>
    <col min="15848" max="15848" width="9.140625" style="81" customWidth="1"/>
    <col min="15849" max="15850" width="3.85546875" style="81" customWidth="1"/>
    <col min="15851" max="15851" width="10.5703125" style="81" customWidth="1"/>
    <col min="15852" max="15852" width="3.85546875" style="81" customWidth="1"/>
    <col min="15853" max="15855" width="14.42578125" style="81" customWidth="1"/>
    <col min="15856" max="15856" width="4.140625" style="81" customWidth="1"/>
    <col min="15857" max="15857" width="15" style="81" customWidth="1"/>
    <col min="15858" max="15859" width="9.140625" style="81" customWidth="1"/>
    <col min="15860" max="15860" width="11.5703125" style="81" customWidth="1"/>
    <col min="15861" max="15861" width="18.140625" style="81" customWidth="1"/>
    <col min="15862" max="15862" width="13.140625" style="81" customWidth="1"/>
    <col min="15863" max="15863" width="12.28515625" style="81" customWidth="1"/>
    <col min="15864" max="16101" width="9.140625" style="81"/>
    <col min="16102" max="16102" width="1.42578125" style="81" customWidth="1"/>
    <col min="16103" max="16103" width="59.5703125" style="81" customWidth="1"/>
    <col min="16104" max="16104" width="9.140625" style="81" customWidth="1"/>
    <col min="16105" max="16106" width="3.85546875" style="81" customWidth="1"/>
    <col min="16107" max="16107" width="10.5703125" style="81" customWidth="1"/>
    <col min="16108" max="16108" width="3.85546875" style="81" customWidth="1"/>
    <col min="16109" max="16111" width="14.42578125" style="81" customWidth="1"/>
    <col min="16112" max="16112" width="4.140625" style="81" customWidth="1"/>
    <col min="16113" max="16113" width="15" style="81" customWidth="1"/>
    <col min="16114" max="16115" width="9.140625" style="81" customWidth="1"/>
    <col min="16116" max="16116" width="11.5703125" style="81" customWidth="1"/>
    <col min="16117" max="16117" width="18.140625" style="81" customWidth="1"/>
    <col min="16118" max="16118" width="13.140625" style="81" customWidth="1"/>
    <col min="16119" max="16119" width="12.28515625" style="81" customWidth="1"/>
    <col min="16120" max="16384" width="9.140625" style="81"/>
  </cols>
  <sheetData>
    <row r="1" spans="1:16" hidden="1" x14ac:dyDescent="0.25">
      <c r="E1" s="599" t="s">
        <v>550</v>
      </c>
      <c r="F1" s="599"/>
      <c r="G1" s="599"/>
      <c r="H1" s="599"/>
      <c r="I1" s="599"/>
      <c r="J1" s="599"/>
      <c r="K1" s="599"/>
      <c r="L1" s="599"/>
    </row>
    <row r="2" spans="1:16" ht="45" hidden="1" customHeight="1" x14ac:dyDescent="0.25">
      <c r="E2" s="598" t="s">
        <v>792</v>
      </c>
      <c r="F2" s="598"/>
      <c r="G2" s="598"/>
      <c r="H2" s="598"/>
      <c r="I2" s="598"/>
      <c r="J2" s="598"/>
      <c r="K2" s="598"/>
      <c r="L2" s="598"/>
      <c r="M2" s="598"/>
    </row>
    <row r="3" spans="1:16" s="158" customFormat="1" ht="13.5" customHeight="1" x14ac:dyDescent="0.2">
      <c r="D3" s="229"/>
      <c r="E3" s="594" t="s">
        <v>851</v>
      </c>
      <c r="F3" s="594"/>
      <c r="G3" s="594"/>
      <c r="H3" s="594"/>
      <c r="I3" s="594"/>
      <c r="J3" s="594"/>
      <c r="K3" s="594"/>
      <c r="L3" s="594"/>
      <c r="M3" s="594"/>
      <c r="N3" s="594"/>
      <c r="O3" s="594"/>
      <c r="P3" s="317"/>
    </row>
    <row r="4" spans="1:16" s="118" customFormat="1" ht="67.5" customHeight="1" x14ac:dyDescent="0.25">
      <c r="B4" s="199"/>
      <c r="C4" s="199"/>
      <c r="D4" s="218"/>
      <c r="E4" s="598" t="s">
        <v>592</v>
      </c>
      <c r="F4" s="598"/>
      <c r="G4" s="598"/>
      <c r="H4" s="598"/>
      <c r="I4" s="598"/>
      <c r="J4" s="598"/>
      <c r="K4" s="598"/>
      <c r="L4" s="598"/>
      <c r="M4" s="598"/>
      <c r="N4" s="598"/>
      <c r="O4" s="598"/>
    </row>
    <row r="5" spans="1:16" s="118" customFormat="1" ht="59.25" customHeight="1" x14ac:dyDescent="0.25">
      <c r="A5" s="597" t="s">
        <v>852</v>
      </c>
      <c r="B5" s="597"/>
      <c r="C5" s="597"/>
      <c r="D5" s="597"/>
      <c r="E5" s="597"/>
      <c r="F5" s="597"/>
      <c r="G5" s="597"/>
      <c r="H5" s="597"/>
      <c r="I5" s="597"/>
      <c r="J5" s="597"/>
      <c r="K5" s="597"/>
      <c r="L5" s="597"/>
      <c r="M5" s="597"/>
      <c r="N5" s="597"/>
      <c r="O5" s="597"/>
    </row>
    <row r="6" spans="1:16" s="6" customFormat="1" ht="7.5" customHeight="1" x14ac:dyDescent="0.25">
      <c r="A6" s="4"/>
      <c r="B6" s="4"/>
      <c r="C6" s="4"/>
      <c r="D6" s="4"/>
      <c r="E6" s="4"/>
      <c r="F6" s="5"/>
      <c r="G6" s="603" t="s">
        <v>662</v>
      </c>
      <c r="H6" s="603"/>
      <c r="I6" s="316"/>
      <c r="J6" s="4"/>
      <c r="K6" s="10"/>
    </row>
    <row r="7" spans="1:16" s="119" customFormat="1" ht="24.75" customHeight="1" x14ac:dyDescent="0.25">
      <c r="A7" s="585" t="s">
        <v>11</v>
      </c>
      <c r="B7" s="585"/>
      <c r="C7" s="302"/>
      <c r="D7" s="302" t="s">
        <v>716</v>
      </c>
      <c r="E7" s="302" t="s">
        <v>717</v>
      </c>
      <c r="F7" s="302" t="s">
        <v>331</v>
      </c>
      <c r="G7" s="244" t="s">
        <v>12</v>
      </c>
      <c r="H7" s="244" t="s">
        <v>13</v>
      </c>
      <c r="I7" s="114" t="s">
        <v>332</v>
      </c>
      <c r="J7" s="114" t="s">
        <v>15</v>
      </c>
      <c r="K7" s="430" t="s">
        <v>547</v>
      </c>
      <c r="L7" s="430" t="s">
        <v>810</v>
      </c>
      <c r="M7" s="430" t="s">
        <v>761</v>
      </c>
      <c r="N7" s="430" t="s">
        <v>811</v>
      </c>
      <c r="O7" s="510" t="s">
        <v>547</v>
      </c>
    </row>
    <row r="8" spans="1:16" s="6" customFormat="1" ht="26.25" customHeight="1" x14ac:dyDescent="0.25">
      <c r="A8" s="593" t="s">
        <v>670</v>
      </c>
      <c r="B8" s="593"/>
      <c r="C8" s="304"/>
      <c r="D8" s="304">
        <v>51</v>
      </c>
      <c r="E8" s="304"/>
      <c r="F8" s="304"/>
      <c r="G8" s="7"/>
      <c r="H8" s="7"/>
      <c r="I8" s="7"/>
      <c r="J8" s="7"/>
      <c r="K8" s="121">
        <f>K9+K97+K105+K131+K136+K144+K157+K162</f>
        <v>64055337</v>
      </c>
      <c r="L8" s="274">
        <f>L9+L97+L105+L131+L136+L144+L157+L162</f>
        <v>8179526</v>
      </c>
      <c r="M8" s="121">
        <f>M9+M97+M105+M131+M136+M144+M157+M162</f>
        <v>72234863</v>
      </c>
      <c r="N8" s="274">
        <f>N9+N97+N105+N131+N136+N144+N157+N162</f>
        <v>-201418</v>
      </c>
      <c r="O8" s="121">
        <f>O9+O97+O105+O131+O136+O144+O157+O162</f>
        <v>72033445</v>
      </c>
    </row>
    <row r="9" spans="1:16" s="6" customFormat="1" x14ac:dyDescent="0.25">
      <c r="A9" s="564" t="s">
        <v>16</v>
      </c>
      <c r="B9" s="565"/>
      <c r="C9" s="99"/>
      <c r="D9" s="99">
        <v>51</v>
      </c>
      <c r="E9" s="99">
        <v>0</v>
      </c>
      <c r="F9" s="99">
        <v>851</v>
      </c>
      <c r="G9" s="12"/>
      <c r="H9" s="12"/>
      <c r="I9" s="1"/>
      <c r="J9" s="1"/>
      <c r="K9" s="43">
        <f>K10+K13+K22+K25+K28+K31+K36+K41+K44+K47+K50+K55+K60+K63+K66+K71+K74+K77+K80+K85+K88+K91+K94</f>
        <v>37033462</v>
      </c>
      <c r="L9" s="43">
        <f t="shared" ref="L9:O9" si="0">L10+L13+L22+L25+L28+L31+L36+L41+L44+L47+L50+L55+L60+L63+L66+L71+L74+L77+L80+L85+L88+L91+L94</f>
        <v>6274526</v>
      </c>
      <c r="M9" s="43">
        <f t="shared" si="0"/>
        <v>43307988</v>
      </c>
      <c r="N9" s="43">
        <f t="shared" si="0"/>
        <v>-316418</v>
      </c>
      <c r="O9" s="43">
        <f t="shared" si="0"/>
        <v>42991570</v>
      </c>
    </row>
    <row r="10" spans="1:16" s="6" customFormat="1" ht="27" customHeight="1" x14ac:dyDescent="0.25">
      <c r="A10" s="583" t="s">
        <v>20</v>
      </c>
      <c r="B10" s="583"/>
      <c r="C10" s="295"/>
      <c r="D10" s="289">
        <v>51</v>
      </c>
      <c r="E10" s="289">
        <v>0</v>
      </c>
      <c r="F10" s="289">
        <v>851</v>
      </c>
      <c r="G10" s="1" t="s">
        <v>18</v>
      </c>
      <c r="H10" s="1" t="s">
        <v>7</v>
      </c>
      <c r="I10" s="1" t="s">
        <v>333</v>
      </c>
      <c r="J10" s="1"/>
      <c r="K10" s="2">
        <f t="shared" ref="K10:O11" si="1">K11</f>
        <v>946200</v>
      </c>
      <c r="L10" s="116">
        <f t="shared" si="1"/>
        <v>0</v>
      </c>
      <c r="M10" s="2">
        <f t="shared" si="1"/>
        <v>946200</v>
      </c>
      <c r="N10" s="116">
        <f t="shared" si="1"/>
        <v>0</v>
      </c>
      <c r="O10" s="2">
        <f t="shared" si="1"/>
        <v>946200</v>
      </c>
    </row>
    <row r="11" spans="1:16" s="6" customFormat="1" ht="38.25" customHeight="1" x14ac:dyDescent="0.25">
      <c r="A11" s="295"/>
      <c r="B11" s="294" t="s">
        <v>22</v>
      </c>
      <c r="C11" s="295"/>
      <c r="D11" s="289">
        <v>51</v>
      </c>
      <c r="E11" s="289">
        <v>0</v>
      </c>
      <c r="F11" s="289">
        <v>851</v>
      </c>
      <c r="G11" s="1" t="s">
        <v>23</v>
      </c>
      <c r="H11" s="1" t="s">
        <v>7</v>
      </c>
      <c r="I11" s="1" t="s">
        <v>333</v>
      </c>
      <c r="J11" s="1" t="s">
        <v>24</v>
      </c>
      <c r="K11" s="2">
        <f t="shared" si="1"/>
        <v>946200</v>
      </c>
      <c r="L11" s="116">
        <f t="shared" si="1"/>
        <v>0</v>
      </c>
      <c r="M11" s="2">
        <f t="shared" si="1"/>
        <v>946200</v>
      </c>
      <c r="N11" s="116">
        <f t="shared" si="1"/>
        <v>0</v>
      </c>
      <c r="O11" s="2">
        <f t="shared" si="1"/>
        <v>946200</v>
      </c>
    </row>
    <row r="12" spans="1:16" s="6" customFormat="1" ht="16.5" customHeight="1" x14ac:dyDescent="0.25">
      <c r="A12" s="17"/>
      <c r="B12" s="294" t="s">
        <v>25</v>
      </c>
      <c r="C12" s="294"/>
      <c r="D12" s="289">
        <v>51</v>
      </c>
      <c r="E12" s="289">
        <v>0</v>
      </c>
      <c r="F12" s="289">
        <v>851</v>
      </c>
      <c r="G12" s="1" t="s">
        <v>18</v>
      </c>
      <c r="H12" s="1" t="s">
        <v>7</v>
      </c>
      <c r="I12" s="1" t="s">
        <v>333</v>
      </c>
      <c r="J12" s="1" t="s">
        <v>26</v>
      </c>
      <c r="K12" s="2">
        <f>'6 Вед15'!J13</f>
        <v>946200</v>
      </c>
      <c r="L12" s="116">
        <f>'6 Вед15'!K13</f>
        <v>0</v>
      </c>
      <c r="M12" s="2">
        <f>'6 Вед15'!L13</f>
        <v>946200</v>
      </c>
      <c r="N12" s="116">
        <f>'6 Вед15'!M13</f>
        <v>0</v>
      </c>
      <c r="O12" s="2">
        <f>'6 Вед15'!N13</f>
        <v>946200</v>
      </c>
    </row>
    <row r="13" spans="1:16" s="6" customFormat="1" ht="27" customHeight="1" x14ac:dyDescent="0.25">
      <c r="A13" s="583" t="s">
        <v>27</v>
      </c>
      <c r="B13" s="583"/>
      <c r="C13" s="289"/>
      <c r="D13" s="289">
        <v>51</v>
      </c>
      <c r="E13" s="289">
        <v>0</v>
      </c>
      <c r="F13" s="289">
        <v>851</v>
      </c>
      <c r="G13" s="1" t="s">
        <v>23</v>
      </c>
      <c r="H13" s="1" t="s">
        <v>7</v>
      </c>
      <c r="I13" s="1" t="s">
        <v>562</v>
      </c>
      <c r="J13" s="1"/>
      <c r="K13" s="2">
        <f t="shared" ref="K13:M13" si="2">K14+K16+K18</f>
        <v>16387680</v>
      </c>
      <c r="L13" s="116">
        <f t="shared" si="2"/>
        <v>0</v>
      </c>
      <c r="M13" s="2">
        <f t="shared" si="2"/>
        <v>16387680</v>
      </c>
      <c r="N13" s="116">
        <f t="shared" ref="N13:O13" si="3">N14+N16+N18</f>
        <v>0</v>
      </c>
      <c r="O13" s="2">
        <f t="shared" si="3"/>
        <v>16387680</v>
      </c>
    </row>
    <row r="14" spans="1:16" s="6" customFormat="1" ht="37.5" customHeight="1" x14ac:dyDescent="0.25">
      <c r="A14" s="17"/>
      <c r="B14" s="294" t="s">
        <v>22</v>
      </c>
      <c r="C14" s="289"/>
      <c r="D14" s="289">
        <v>51</v>
      </c>
      <c r="E14" s="289">
        <v>0</v>
      </c>
      <c r="F14" s="289">
        <v>851</v>
      </c>
      <c r="G14" s="1" t="s">
        <v>18</v>
      </c>
      <c r="H14" s="1" t="s">
        <v>7</v>
      </c>
      <c r="I14" s="1" t="s">
        <v>562</v>
      </c>
      <c r="J14" s="1" t="s">
        <v>24</v>
      </c>
      <c r="K14" s="2">
        <f t="shared" ref="K14:O14" si="4">K15</f>
        <v>11544100</v>
      </c>
      <c r="L14" s="116">
        <f t="shared" si="4"/>
        <v>0</v>
      </c>
      <c r="M14" s="2">
        <f t="shared" si="4"/>
        <v>11544100</v>
      </c>
      <c r="N14" s="116">
        <f t="shared" si="4"/>
        <v>0</v>
      </c>
      <c r="O14" s="2">
        <f t="shared" si="4"/>
        <v>11544100</v>
      </c>
    </row>
    <row r="15" spans="1:16" s="6" customFormat="1" ht="15" customHeight="1" x14ac:dyDescent="0.25">
      <c r="A15" s="17"/>
      <c r="B15" s="294" t="s">
        <v>25</v>
      </c>
      <c r="C15" s="289"/>
      <c r="D15" s="289">
        <v>51</v>
      </c>
      <c r="E15" s="289">
        <v>0</v>
      </c>
      <c r="F15" s="289">
        <v>851</v>
      </c>
      <c r="G15" s="1" t="s">
        <v>18</v>
      </c>
      <c r="H15" s="1" t="s">
        <v>7</v>
      </c>
      <c r="I15" s="1" t="s">
        <v>562</v>
      </c>
      <c r="J15" s="1" t="s">
        <v>26</v>
      </c>
      <c r="K15" s="2">
        <f>'6 Вед15'!J16</f>
        <v>11544100</v>
      </c>
      <c r="L15" s="116">
        <f>'6 Вед15'!K16</f>
        <v>0</v>
      </c>
      <c r="M15" s="2">
        <f>'6 Вед15'!L16</f>
        <v>11544100</v>
      </c>
      <c r="N15" s="116">
        <f>'6 Вед15'!M16</f>
        <v>0</v>
      </c>
      <c r="O15" s="2">
        <f>'6 Вед15'!N16</f>
        <v>11544100</v>
      </c>
    </row>
    <row r="16" spans="1:16" s="6" customFormat="1" ht="15" customHeight="1" x14ac:dyDescent="0.25">
      <c r="A16" s="17"/>
      <c r="B16" s="298" t="s">
        <v>28</v>
      </c>
      <c r="C16" s="289"/>
      <c r="D16" s="289">
        <v>51</v>
      </c>
      <c r="E16" s="289">
        <v>0</v>
      </c>
      <c r="F16" s="289">
        <v>851</v>
      </c>
      <c r="G16" s="1" t="s">
        <v>18</v>
      </c>
      <c r="H16" s="1" t="s">
        <v>7</v>
      </c>
      <c r="I16" s="1" t="s">
        <v>562</v>
      </c>
      <c r="J16" s="1" t="s">
        <v>29</v>
      </c>
      <c r="K16" s="2">
        <f>'6 Вед15'!J17</f>
        <v>3777580</v>
      </c>
      <c r="L16" s="116">
        <f>'6 Вед15'!K17</f>
        <v>0</v>
      </c>
      <c r="M16" s="2">
        <f>'6 Вед15'!L17</f>
        <v>3777580</v>
      </c>
      <c r="N16" s="116">
        <f>'6 Вед15'!M17</f>
        <v>0</v>
      </c>
      <c r="O16" s="2">
        <f>'6 Вед15'!N17</f>
        <v>3777580</v>
      </c>
    </row>
    <row r="17" spans="1:15" s="6" customFormat="1" ht="25.5" customHeight="1" x14ac:dyDescent="0.25">
      <c r="A17" s="17"/>
      <c r="B17" s="298" t="s">
        <v>30</v>
      </c>
      <c r="C17" s="289"/>
      <c r="D17" s="289">
        <v>51</v>
      </c>
      <c r="E17" s="289">
        <v>0</v>
      </c>
      <c r="F17" s="289">
        <v>851</v>
      </c>
      <c r="G17" s="1" t="s">
        <v>18</v>
      </c>
      <c r="H17" s="1" t="s">
        <v>7</v>
      </c>
      <c r="I17" s="1" t="s">
        <v>562</v>
      </c>
      <c r="J17" s="1" t="s">
        <v>31</v>
      </c>
      <c r="K17" s="2">
        <f>'6 Вед15'!J18</f>
        <v>3777580</v>
      </c>
      <c r="L17" s="116">
        <f>'6 Вед15'!K18</f>
        <v>0</v>
      </c>
      <c r="M17" s="2">
        <f>'6 Вед15'!L18</f>
        <v>3777580</v>
      </c>
      <c r="N17" s="116">
        <f>'6 Вед15'!M18</f>
        <v>0</v>
      </c>
      <c r="O17" s="2">
        <f>'6 Вед15'!N18</f>
        <v>3777580</v>
      </c>
    </row>
    <row r="18" spans="1:15" s="6" customFormat="1" ht="14.25" customHeight="1" x14ac:dyDescent="0.25">
      <c r="A18" s="17"/>
      <c r="B18" s="298" t="s">
        <v>32</v>
      </c>
      <c r="C18" s="289"/>
      <c r="D18" s="289">
        <v>51</v>
      </c>
      <c r="E18" s="289">
        <v>0</v>
      </c>
      <c r="F18" s="289">
        <v>851</v>
      </c>
      <c r="G18" s="1" t="s">
        <v>18</v>
      </c>
      <c r="H18" s="1" t="s">
        <v>7</v>
      </c>
      <c r="I18" s="1" t="s">
        <v>562</v>
      </c>
      <c r="J18" s="1" t="s">
        <v>33</v>
      </c>
      <c r="K18" s="2">
        <f>K19+K20+K21</f>
        <v>1066000</v>
      </c>
      <c r="L18" s="116">
        <f t="shared" ref="L18:M18" si="5">L19+L20+L21</f>
        <v>0</v>
      </c>
      <c r="M18" s="2">
        <f t="shared" si="5"/>
        <v>1066000</v>
      </c>
      <c r="N18" s="116">
        <f t="shared" ref="N18:O18" si="6">N19+N20+N21</f>
        <v>0</v>
      </c>
      <c r="O18" s="2">
        <f t="shared" si="6"/>
        <v>1066000</v>
      </c>
    </row>
    <row r="19" spans="1:15" s="6" customFormat="1" ht="14.25" customHeight="1" x14ac:dyDescent="0.25">
      <c r="A19" s="17"/>
      <c r="B19" s="295" t="s">
        <v>34</v>
      </c>
      <c r="C19" s="289"/>
      <c r="D19" s="289">
        <v>51</v>
      </c>
      <c r="E19" s="289">
        <v>0</v>
      </c>
      <c r="F19" s="289">
        <v>851</v>
      </c>
      <c r="G19" s="1" t="s">
        <v>18</v>
      </c>
      <c r="H19" s="1" t="s">
        <v>7</v>
      </c>
      <c r="I19" s="1" t="s">
        <v>562</v>
      </c>
      <c r="J19" s="1" t="s">
        <v>35</v>
      </c>
      <c r="K19" s="2">
        <f>'6 Вед15'!J20</f>
        <v>945200</v>
      </c>
      <c r="L19" s="116">
        <f>'6 Вед15'!K20</f>
        <v>0</v>
      </c>
      <c r="M19" s="2">
        <f>'6 Вед15'!L20</f>
        <v>945200</v>
      </c>
      <c r="N19" s="116">
        <f>'6 Вед15'!M20</f>
        <v>0</v>
      </c>
      <c r="O19" s="2">
        <f>'6 Вед15'!N20</f>
        <v>945200</v>
      </c>
    </row>
    <row r="20" spans="1:15" s="6" customFormat="1" ht="14.25" customHeight="1" x14ac:dyDescent="0.25">
      <c r="A20" s="17"/>
      <c r="B20" s="294" t="s">
        <v>596</v>
      </c>
      <c r="C20" s="289"/>
      <c r="D20" s="289">
        <v>51</v>
      </c>
      <c r="E20" s="289">
        <v>0</v>
      </c>
      <c r="F20" s="289">
        <v>851</v>
      </c>
      <c r="G20" s="1" t="s">
        <v>23</v>
      </c>
      <c r="H20" s="1" t="s">
        <v>7</v>
      </c>
      <c r="I20" s="1" t="s">
        <v>562</v>
      </c>
      <c r="J20" s="1" t="s">
        <v>36</v>
      </c>
      <c r="K20" s="2">
        <f>'6 Вед15'!J21</f>
        <v>70800</v>
      </c>
      <c r="L20" s="116">
        <f>'6 Вед15'!K21</f>
        <v>0</v>
      </c>
      <c r="M20" s="2">
        <f>'6 Вед15'!L21</f>
        <v>70800</v>
      </c>
      <c r="N20" s="116">
        <f>'6 Вед15'!M21</f>
        <v>0</v>
      </c>
      <c r="O20" s="2">
        <f>'6 Вед15'!N21</f>
        <v>70800</v>
      </c>
    </row>
    <row r="21" spans="1:15" s="6" customFormat="1" ht="14.25" customHeight="1" x14ac:dyDescent="0.25">
      <c r="A21" s="17"/>
      <c r="B21" s="295" t="s">
        <v>595</v>
      </c>
      <c r="C21" s="289"/>
      <c r="D21" s="289">
        <v>51</v>
      </c>
      <c r="E21" s="289">
        <v>0</v>
      </c>
      <c r="F21" s="289">
        <v>851</v>
      </c>
      <c r="G21" s="1" t="s">
        <v>23</v>
      </c>
      <c r="H21" s="1" t="s">
        <v>7</v>
      </c>
      <c r="I21" s="1" t="s">
        <v>562</v>
      </c>
      <c r="J21" s="1" t="s">
        <v>594</v>
      </c>
      <c r="K21" s="2">
        <f>'6 Вед15'!J22</f>
        <v>50000</v>
      </c>
      <c r="L21" s="116">
        <f>'6 Вед15'!K22</f>
        <v>0</v>
      </c>
      <c r="M21" s="2">
        <f>'6 Вед15'!L22</f>
        <v>50000</v>
      </c>
      <c r="N21" s="116">
        <f>'6 Вед15'!M22</f>
        <v>0</v>
      </c>
      <c r="O21" s="2">
        <f>'6 Вед15'!N22</f>
        <v>50000</v>
      </c>
    </row>
    <row r="22" spans="1:15" s="6" customFormat="1" ht="37.5" customHeight="1" x14ac:dyDescent="0.25">
      <c r="A22" s="583" t="s">
        <v>612</v>
      </c>
      <c r="B22" s="583"/>
      <c r="C22" s="295"/>
      <c r="D22" s="289">
        <v>51</v>
      </c>
      <c r="E22" s="289">
        <v>0</v>
      </c>
      <c r="F22" s="289">
        <v>851</v>
      </c>
      <c r="G22" s="1" t="s">
        <v>18</v>
      </c>
      <c r="H22" s="1" t="s">
        <v>7</v>
      </c>
      <c r="I22" s="1" t="s">
        <v>617</v>
      </c>
      <c r="J22" s="1"/>
      <c r="K22" s="2">
        <f t="shared" ref="K22:O23" si="7">K23</f>
        <v>2500</v>
      </c>
      <c r="L22" s="116">
        <f t="shared" si="7"/>
        <v>0</v>
      </c>
      <c r="M22" s="2">
        <f t="shared" si="7"/>
        <v>2500</v>
      </c>
      <c r="N22" s="116">
        <f t="shared" si="7"/>
        <v>0</v>
      </c>
      <c r="O22" s="2">
        <f t="shared" si="7"/>
        <v>2500</v>
      </c>
    </row>
    <row r="23" spans="1:15" s="6" customFormat="1" ht="15" customHeight="1" x14ac:dyDescent="0.25">
      <c r="A23" s="17"/>
      <c r="B23" s="298" t="s">
        <v>28</v>
      </c>
      <c r="C23" s="294"/>
      <c r="D23" s="289">
        <v>51</v>
      </c>
      <c r="E23" s="289">
        <v>0</v>
      </c>
      <c r="F23" s="289">
        <v>851</v>
      </c>
      <c r="G23" s="1" t="s">
        <v>18</v>
      </c>
      <c r="H23" s="1" t="s">
        <v>7</v>
      </c>
      <c r="I23" s="1" t="s">
        <v>617</v>
      </c>
      <c r="J23" s="1" t="s">
        <v>29</v>
      </c>
      <c r="K23" s="2">
        <f t="shared" si="7"/>
        <v>2500</v>
      </c>
      <c r="L23" s="116">
        <f t="shared" si="7"/>
        <v>0</v>
      </c>
      <c r="M23" s="2">
        <f t="shared" si="7"/>
        <v>2500</v>
      </c>
      <c r="N23" s="116">
        <f t="shared" si="7"/>
        <v>0</v>
      </c>
      <c r="O23" s="2">
        <f t="shared" si="7"/>
        <v>2500</v>
      </c>
    </row>
    <row r="24" spans="1:15" s="6" customFormat="1" ht="24" customHeight="1" x14ac:dyDescent="0.25">
      <c r="A24" s="17"/>
      <c r="B24" s="298" t="s">
        <v>30</v>
      </c>
      <c r="C24" s="295"/>
      <c r="D24" s="289">
        <v>51</v>
      </c>
      <c r="E24" s="289">
        <v>0</v>
      </c>
      <c r="F24" s="289">
        <v>851</v>
      </c>
      <c r="G24" s="1" t="s">
        <v>18</v>
      </c>
      <c r="H24" s="1" t="s">
        <v>7</v>
      </c>
      <c r="I24" s="1" t="s">
        <v>617</v>
      </c>
      <c r="J24" s="1" t="s">
        <v>31</v>
      </c>
      <c r="K24" s="2">
        <f>'6 Вед15'!J25</f>
        <v>2500</v>
      </c>
      <c r="L24" s="116">
        <f>'6 Вед15'!K25</f>
        <v>0</v>
      </c>
      <c r="M24" s="2">
        <f>'6 Вед15'!L25</f>
        <v>2500</v>
      </c>
      <c r="N24" s="116">
        <f>'6 Вед15'!M25</f>
        <v>0</v>
      </c>
      <c r="O24" s="2">
        <f>'6 Вед15'!N25</f>
        <v>2500</v>
      </c>
    </row>
    <row r="25" spans="1:15" s="6" customFormat="1" ht="15" customHeight="1" x14ac:dyDescent="0.25">
      <c r="A25" s="574" t="s">
        <v>779</v>
      </c>
      <c r="B25" s="575"/>
      <c r="C25" s="398"/>
      <c r="D25" s="289">
        <v>51</v>
      </c>
      <c r="E25" s="289">
        <v>0</v>
      </c>
      <c r="F25" s="289">
        <v>851</v>
      </c>
      <c r="G25" s="1"/>
      <c r="H25" s="1"/>
      <c r="I25" s="1" t="s">
        <v>790</v>
      </c>
      <c r="J25" s="1"/>
      <c r="K25" s="2">
        <f>K26</f>
        <v>0</v>
      </c>
      <c r="L25" s="2">
        <f t="shared" ref="L25:N26" si="8">L26</f>
        <v>4802500</v>
      </c>
      <c r="M25" s="2">
        <f t="shared" ref="M25:O26" si="9">M26</f>
        <v>4802500</v>
      </c>
      <c r="N25" s="2">
        <f t="shared" si="8"/>
        <v>0</v>
      </c>
      <c r="O25" s="2">
        <f t="shared" si="9"/>
        <v>4802500</v>
      </c>
    </row>
    <row r="26" spans="1:15" s="6" customFormat="1" ht="24" customHeight="1" x14ac:dyDescent="0.25">
      <c r="A26" s="405"/>
      <c r="B26" s="398" t="s">
        <v>597</v>
      </c>
      <c r="C26" s="398"/>
      <c r="D26" s="289">
        <v>51</v>
      </c>
      <c r="E26" s="289">
        <v>0</v>
      </c>
      <c r="F26" s="289">
        <v>851</v>
      </c>
      <c r="G26" s="1"/>
      <c r="H26" s="1"/>
      <c r="I26" s="1" t="s">
        <v>790</v>
      </c>
      <c r="J26" s="1" t="s">
        <v>77</v>
      </c>
      <c r="K26" s="2">
        <f>K27</f>
        <v>0</v>
      </c>
      <c r="L26" s="2">
        <f t="shared" si="8"/>
        <v>4802500</v>
      </c>
      <c r="M26" s="2">
        <f t="shared" si="9"/>
        <v>4802500</v>
      </c>
      <c r="N26" s="2">
        <f t="shared" si="8"/>
        <v>0</v>
      </c>
      <c r="O26" s="2">
        <f t="shared" si="9"/>
        <v>4802500</v>
      </c>
    </row>
    <row r="27" spans="1:15" s="6" customFormat="1" ht="24" customHeight="1" x14ac:dyDescent="0.25">
      <c r="A27" s="405"/>
      <c r="B27" s="398" t="s">
        <v>78</v>
      </c>
      <c r="C27" s="398"/>
      <c r="D27" s="289">
        <v>51</v>
      </c>
      <c r="E27" s="289">
        <v>0</v>
      </c>
      <c r="F27" s="289">
        <v>851</v>
      </c>
      <c r="G27" s="1"/>
      <c r="H27" s="1"/>
      <c r="I27" s="1" t="s">
        <v>790</v>
      </c>
      <c r="J27" s="1" t="s">
        <v>79</v>
      </c>
      <c r="K27" s="2"/>
      <c r="L27" s="116">
        <f>'6 Вед15'!K106+'6 Вед15'!K120</f>
        <v>4802500</v>
      </c>
      <c r="M27" s="2">
        <f>K27+L27</f>
        <v>4802500</v>
      </c>
      <c r="N27" s="116">
        <f>'6 Вед15'!M106+'6 Вед15'!M120</f>
        <v>0</v>
      </c>
      <c r="O27" s="2">
        <f>M27+N27</f>
        <v>4802500</v>
      </c>
    </row>
    <row r="28" spans="1:15" s="6" customFormat="1" ht="24" customHeight="1" x14ac:dyDescent="0.25">
      <c r="A28" s="552" t="s">
        <v>828</v>
      </c>
      <c r="B28" s="553"/>
      <c r="C28" s="465"/>
      <c r="D28" s="289">
        <v>51</v>
      </c>
      <c r="E28" s="289">
        <v>0</v>
      </c>
      <c r="F28" s="289">
        <v>851</v>
      </c>
      <c r="G28" s="1"/>
      <c r="H28" s="1"/>
      <c r="I28" s="1" t="s">
        <v>829</v>
      </c>
      <c r="J28" s="1"/>
      <c r="K28" s="2"/>
      <c r="L28" s="116"/>
      <c r="M28" s="2">
        <f>M29</f>
        <v>0</v>
      </c>
      <c r="N28" s="2">
        <f t="shared" ref="N28:O29" si="10">N29</f>
        <v>700000</v>
      </c>
      <c r="O28" s="2">
        <f t="shared" si="10"/>
        <v>700000</v>
      </c>
    </row>
    <row r="29" spans="1:15" s="6" customFormat="1" ht="14.25" customHeight="1" x14ac:dyDescent="0.25">
      <c r="A29" s="466"/>
      <c r="B29" s="465" t="s">
        <v>32</v>
      </c>
      <c r="C29" s="465"/>
      <c r="D29" s="289">
        <v>51</v>
      </c>
      <c r="E29" s="289">
        <v>0</v>
      </c>
      <c r="F29" s="289">
        <v>851</v>
      </c>
      <c r="G29" s="1"/>
      <c r="H29" s="1"/>
      <c r="I29" s="1" t="s">
        <v>829</v>
      </c>
      <c r="J29" s="1" t="s">
        <v>33</v>
      </c>
      <c r="K29" s="2"/>
      <c r="L29" s="116"/>
      <c r="M29" s="2">
        <f>M30</f>
        <v>0</v>
      </c>
      <c r="N29" s="2">
        <f t="shared" si="10"/>
        <v>700000</v>
      </c>
      <c r="O29" s="2">
        <f t="shared" si="10"/>
        <v>700000</v>
      </c>
    </row>
    <row r="30" spans="1:15" s="6" customFormat="1" ht="36.75" customHeight="1" x14ac:dyDescent="0.25">
      <c r="A30" s="466"/>
      <c r="B30" s="465" t="s">
        <v>376</v>
      </c>
      <c r="C30" s="465"/>
      <c r="D30" s="289">
        <v>51</v>
      </c>
      <c r="E30" s="289">
        <v>0</v>
      </c>
      <c r="F30" s="289">
        <v>851</v>
      </c>
      <c r="G30" s="1"/>
      <c r="H30" s="1"/>
      <c r="I30" s="1" t="s">
        <v>829</v>
      </c>
      <c r="J30" s="1" t="s">
        <v>67</v>
      </c>
      <c r="K30" s="2"/>
      <c r="L30" s="116"/>
      <c r="M30" s="2"/>
      <c r="N30" s="116">
        <f>'6 Вед15'!M75</f>
        <v>700000</v>
      </c>
      <c r="O30" s="2">
        <f>M30+N30</f>
        <v>700000</v>
      </c>
    </row>
    <row r="31" spans="1:15" s="15" customFormat="1" ht="14.25" customHeight="1" x14ac:dyDescent="0.25">
      <c r="A31" s="583" t="s">
        <v>572</v>
      </c>
      <c r="B31" s="583"/>
      <c r="C31" s="297"/>
      <c r="D31" s="289">
        <v>51</v>
      </c>
      <c r="E31" s="289">
        <v>0</v>
      </c>
      <c r="F31" s="289">
        <v>851</v>
      </c>
      <c r="G31" s="1" t="s">
        <v>4</v>
      </c>
      <c r="H31" s="1" t="s">
        <v>58</v>
      </c>
      <c r="I31" s="1" t="s">
        <v>339</v>
      </c>
      <c r="J31" s="12"/>
      <c r="K31" s="2">
        <f>K32+K34</f>
        <v>1332400</v>
      </c>
      <c r="L31" s="116">
        <f t="shared" ref="L31:M31" si="11">L32+L34</f>
        <v>10900</v>
      </c>
      <c r="M31" s="2">
        <f t="shared" si="11"/>
        <v>1343300</v>
      </c>
      <c r="N31" s="116">
        <f t="shared" ref="N31:O31" si="12">N32+N34</f>
        <v>0</v>
      </c>
      <c r="O31" s="2">
        <f t="shared" si="12"/>
        <v>1343300</v>
      </c>
    </row>
    <row r="32" spans="1:15" s="6" customFormat="1" ht="38.25" customHeight="1" x14ac:dyDescent="0.25">
      <c r="A32" s="210"/>
      <c r="B32" s="294" t="s">
        <v>22</v>
      </c>
      <c r="C32" s="295"/>
      <c r="D32" s="289">
        <v>51</v>
      </c>
      <c r="E32" s="289">
        <v>0</v>
      </c>
      <c r="F32" s="289">
        <v>851</v>
      </c>
      <c r="G32" s="1" t="s">
        <v>4</v>
      </c>
      <c r="H32" s="20" t="s">
        <v>58</v>
      </c>
      <c r="I32" s="20" t="s">
        <v>339</v>
      </c>
      <c r="J32" s="1" t="s">
        <v>24</v>
      </c>
      <c r="K32" s="2">
        <f t="shared" ref="K32:O32" si="13">K33</f>
        <v>1246000</v>
      </c>
      <c r="L32" s="116">
        <f t="shared" si="13"/>
        <v>0</v>
      </c>
      <c r="M32" s="2">
        <f t="shared" si="13"/>
        <v>1246000</v>
      </c>
      <c r="N32" s="116">
        <f t="shared" si="13"/>
        <v>0</v>
      </c>
      <c r="O32" s="2">
        <f t="shared" si="13"/>
        <v>1246000</v>
      </c>
    </row>
    <row r="33" spans="1:15" s="6" customFormat="1" x14ac:dyDescent="0.25">
      <c r="A33" s="210"/>
      <c r="B33" s="295" t="s">
        <v>60</v>
      </c>
      <c r="C33" s="295"/>
      <c r="D33" s="289">
        <v>51</v>
      </c>
      <c r="E33" s="289">
        <v>0</v>
      </c>
      <c r="F33" s="289">
        <v>851</v>
      </c>
      <c r="G33" s="1" t="s">
        <v>4</v>
      </c>
      <c r="H33" s="20" t="s">
        <v>58</v>
      </c>
      <c r="I33" s="20" t="s">
        <v>339</v>
      </c>
      <c r="J33" s="1" t="s">
        <v>61</v>
      </c>
      <c r="K33" s="2">
        <f>'6 Вед15'!J68</f>
        <v>1246000</v>
      </c>
      <c r="L33" s="116">
        <f>'6 Вед15'!K68</f>
        <v>0</v>
      </c>
      <c r="M33" s="2">
        <f>'6 Вед15'!L68</f>
        <v>1246000</v>
      </c>
      <c r="N33" s="116">
        <f>'6 Вед15'!M68</f>
        <v>0</v>
      </c>
      <c r="O33" s="2">
        <f>'6 Вед15'!N68</f>
        <v>1246000</v>
      </c>
    </row>
    <row r="34" spans="1:15" s="6" customFormat="1" ht="12.75" customHeight="1" x14ac:dyDescent="0.25">
      <c r="A34" s="21"/>
      <c r="B34" s="298" t="s">
        <v>28</v>
      </c>
      <c r="C34" s="294"/>
      <c r="D34" s="289">
        <v>51</v>
      </c>
      <c r="E34" s="289">
        <v>0</v>
      </c>
      <c r="F34" s="289">
        <v>851</v>
      </c>
      <c r="G34" s="1" t="s">
        <v>4</v>
      </c>
      <c r="H34" s="20" t="s">
        <v>58</v>
      </c>
      <c r="I34" s="20" t="s">
        <v>339</v>
      </c>
      <c r="J34" s="1" t="s">
        <v>29</v>
      </c>
      <c r="K34" s="2">
        <f>'6 Вед15'!J69</f>
        <v>86400</v>
      </c>
      <c r="L34" s="116">
        <f>'6 Вед15'!K69</f>
        <v>10900</v>
      </c>
      <c r="M34" s="2">
        <f>'6 Вед15'!L69</f>
        <v>97300</v>
      </c>
      <c r="N34" s="116">
        <f>'6 Вед15'!M69</f>
        <v>0</v>
      </c>
      <c r="O34" s="2">
        <f>'6 Вед15'!N69</f>
        <v>97300</v>
      </c>
    </row>
    <row r="35" spans="1:15" s="6" customFormat="1" ht="24" x14ac:dyDescent="0.25">
      <c r="A35" s="21"/>
      <c r="B35" s="298" t="s">
        <v>30</v>
      </c>
      <c r="C35" s="295"/>
      <c r="D35" s="289">
        <v>51</v>
      </c>
      <c r="E35" s="289">
        <v>0</v>
      </c>
      <c r="F35" s="289">
        <v>851</v>
      </c>
      <c r="G35" s="1" t="s">
        <v>4</v>
      </c>
      <c r="H35" s="20" t="s">
        <v>58</v>
      </c>
      <c r="I35" s="20" t="s">
        <v>339</v>
      </c>
      <c r="J35" s="1" t="s">
        <v>31</v>
      </c>
      <c r="K35" s="2">
        <f>'6 Вед15'!J70</f>
        <v>86400</v>
      </c>
      <c r="L35" s="116">
        <f>'6 Вед15'!K70</f>
        <v>10900</v>
      </c>
      <c r="M35" s="2">
        <f>'6 Вед15'!L70</f>
        <v>97300</v>
      </c>
      <c r="N35" s="116">
        <f>'6 Вед15'!M70</f>
        <v>0</v>
      </c>
      <c r="O35" s="2">
        <f>'6 Вед15'!N70</f>
        <v>97300</v>
      </c>
    </row>
    <row r="36" spans="1:15" s="6" customFormat="1" ht="47.25" customHeight="1" x14ac:dyDescent="0.25">
      <c r="A36" s="583" t="s">
        <v>46</v>
      </c>
      <c r="B36" s="583"/>
      <c r="C36" s="289"/>
      <c r="D36" s="289">
        <v>51</v>
      </c>
      <c r="E36" s="289">
        <v>0</v>
      </c>
      <c r="F36" s="289">
        <v>851</v>
      </c>
      <c r="G36" s="1" t="s">
        <v>18</v>
      </c>
      <c r="H36" s="1" t="s">
        <v>45</v>
      </c>
      <c r="I36" s="1" t="s">
        <v>334</v>
      </c>
      <c r="J36" s="1"/>
      <c r="K36" s="2">
        <f t="shared" ref="K36:M36" si="14">K37+K39</f>
        <v>340700</v>
      </c>
      <c r="L36" s="116">
        <f t="shared" si="14"/>
        <v>0</v>
      </c>
      <c r="M36" s="2">
        <f t="shared" si="14"/>
        <v>340700</v>
      </c>
      <c r="N36" s="116">
        <f t="shared" ref="N36:O36" si="15">N37+N39</f>
        <v>-23856</v>
      </c>
      <c r="O36" s="2">
        <f t="shared" si="15"/>
        <v>316844</v>
      </c>
    </row>
    <row r="37" spans="1:15" s="6" customFormat="1" ht="38.25" customHeight="1" x14ac:dyDescent="0.25">
      <c r="A37" s="17"/>
      <c r="B37" s="294" t="s">
        <v>22</v>
      </c>
      <c r="C37" s="289"/>
      <c r="D37" s="289">
        <v>51</v>
      </c>
      <c r="E37" s="289">
        <v>0</v>
      </c>
      <c r="F37" s="289">
        <v>851</v>
      </c>
      <c r="G37" s="1" t="s">
        <v>18</v>
      </c>
      <c r="H37" s="1" t="s">
        <v>45</v>
      </c>
      <c r="I37" s="1" t="s">
        <v>334</v>
      </c>
      <c r="J37" s="1" t="s">
        <v>24</v>
      </c>
      <c r="K37" s="2">
        <f t="shared" ref="K37:O37" si="16">K38</f>
        <v>216840</v>
      </c>
      <c r="L37" s="116">
        <f t="shared" si="16"/>
        <v>0</v>
      </c>
      <c r="M37" s="2">
        <f t="shared" si="16"/>
        <v>216840</v>
      </c>
      <c r="N37" s="116">
        <f t="shared" si="16"/>
        <v>0</v>
      </c>
      <c r="O37" s="2">
        <f t="shared" si="16"/>
        <v>216840</v>
      </c>
    </row>
    <row r="38" spans="1:15" s="6" customFormat="1" ht="15.75" customHeight="1" x14ac:dyDescent="0.25">
      <c r="A38" s="17"/>
      <c r="B38" s="294" t="s">
        <v>25</v>
      </c>
      <c r="C38" s="289"/>
      <c r="D38" s="289">
        <v>51</v>
      </c>
      <c r="E38" s="289">
        <v>0</v>
      </c>
      <c r="F38" s="289">
        <v>851</v>
      </c>
      <c r="G38" s="1" t="s">
        <v>18</v>
      </c>
      <c r="H38" s="1" t="s">
        <v>45</v>
      </c>
      <c r="I38" s="1" t="s">
        <v>334</v>
      </c>
      <c r="J38" s="1" t="s">
        <v>26</v>
      </c>
      <c r="K38" s="2">
        <f>'6 Вед15'!J37</f>
        <v>216840</v>
      </c>
      <c r="L38" s="116">
        <f>'6 Вед15'!K37</f>
        <v>0</v>
      </c>
      <c r="M38" s="2">
        <f>'6 Вед15'!L37</f>
        <v>216840</v>
      </c>
      <c r="N38" s="116">
        <f>'6 Вед15'!M37</f>
        <v>0</v>
      </c>
      <c r="O38" s="2">
        <f>'6 Вед15'!N37</f>
        <v>216840</v>
      </c>
    </row>
    <row r="39" spans="1:15" s="6" customFormat="1" ht="15.75" customHeight="1" x14ac:dyDescent="0.25">
      <c r="A39" s="17"/>
      <c r="B39" s="298" t="s">
        <v>28</v>
      </c>
      <c r="C39" s="289"/>
      <c r="D39" s="289">
        <v>51</v>
      </c>
      <c r="E39" s="289">
        <v>0</v>
      </c>
      <c r="F39" s="289">
        <v>851</v>
      </c>
      <c r="G39" s="1" t="s">
        <v>18</v>
      </c>
      <c r="H39" s="1" t="s">
        <v>45</v>
      </c>
      <c r="I39" s="1" t="s">
        <v>334</v>
      </c>
      <c r="J39" s="1" t="s">
        <v>29</v>
      </c>
      <c r="K39" s="2">
        <f>'6 Вед15'!J38</f>
        <v>123860</v>
      </c>
      <c r="L39" s="116">
        <f>'6 Вед15'!K38</f>
        <v>0</v>
      </c>
      <c r="M39" s="2">
        <f>'6 Вед15'!L38</f>
        <v>123860</v>
      </c>
      <c r="N39" s="116">
        <f>'6 Вед15'!M38</f>
        <v>-23856</v>
      </c>
      <c r="O39" s="2">
        <f>'6 Вед15'!N38</f>
        <v>100004</v>
      </c>
    </row>
    <row r="40" spans="1:15" s="6" customFormat="1" ht="24" customHeight="1" x14ac:dyDescent="0.25">
      <c r="A40" s="17"/>
      <c r="B40" s="298" t="s">
        <v>30</v>
      </c>
      <c r="C40" s="289"/>
      <c r="D40" s="289">
        <v>51</v>
      </c>
      <c r="E40" s="289">
        <v>0</v>
      </c>
      <c r="F40" s="289">
        <v>851</v>
      </c>
      <c r="G40" s="1" t="s">
        <v>18</v>
      </c>
      <c r="H40" s="1" t="s">
        <v>45</v>
      </c>
      <c r="I40" s="1" t="s">
        <v>334</v>
      </c>
      <c r="J40" s="1" t="s">
        <v>31</v>
      </c>
      <c r="K40" s="2">
        <f>'6 Вед15'!J39</f>
        <v>123860</v>
      </c>
      <c r="L40" s="116">
        <f>'6 Вед15'!K39</f>
        <v>0</v>
      </c>
      <c r="M40" s="2">
        <f>'6 Вед15'!L39</f>
        <v>123860</v>
      </c>
      <c r="N40" s="116">
        <f>'6 Вед15'!M39</f>
        <v>-23856</v>
      </c>
      <c r="O40" s="2">
        <f>'6 Вед15'!N39</f>
        <v>100004</v>
      </c>
    </row>
    <row r="41" spans="1:15" s="15" customFormat="1" ht="59.25" customHeight="1" x14ac:dyDescent="0.25">
      <c r="A41" s="583" t="s">
        <v>603</v>
      </c>
      <c r="B41" s="583"/>
      <c r="C41" s="297"/>
      <c r="D41" s="74">
        <v>51</v>
      </c>
      <c r="E41" s="74">
        <v>0</v>
      </c>
      <c r="F41" s="289">
        <v>851</v>
      </c>
      <c r="G41" s="1" t="s">
        <v>7</v>
      </c>
      <c r="H41" s="1" t="s">
        <v>64</v>
      </c>
      <c r="I41" s="1" t="s">
        <v>620</v>
      </c>
      <c r="J41" s="1"/>
      <c r="K41" s="2">
        <f>K42</f>
        <v>11140</v>
      </c>
      <c r="L41" s="116">
        <f t="shared" ref="L41:O42" si="17">L42</f>
        <v>0</v>
      </c>
      <c r="M41" s="2">
        <f t="shared" si="17"/>
        <v>11140</v>
      </c>
      <c r="N41" s="116">
        <f t="shared" si="17"/>
        <v>0</v>
      </c>
      <c r="O41" s="2">
        <f t="shared" si="17"/>
        <v>11140</v>
      </c>
    </row>
    <row r="42" spans="1:15" s="15" customFormat="1" ht="12" customHeight="1" x14ac:dyDescent="0.25">
      <c r="A42" s="297"/>
      <c r="B42" s="298" t="s">
        <v>28</v>
      </c>
      <c r="C42" s="294"/>
      <c r="D42" s="74">
        <v>51</v>
      </c>
      <c r="E42" s="74">
        <v>0</v>
      </c>
      <c r="F42" s="289">
        <v>851</v>
      </c>
      <c r="G42" s="1" t="s">
        <v>7</v>
      </c>
      <c r="H42" s="1" t="s">
        <v>64</v>
      </c>
      <c r="I42" s="1" t="s">
        <v>620</v>
      </c>
      <c r="J42" s="1" t="s">
        <v>29</v>
      </c>
      <c r="K42" s="2">
        <f>K43</f>
        <v>11140</v>
      </c>
      <c r="L42" s="116">
        <f t="shared" si="17"/>
        <v>0</v>
      </c>
      <c r="M42" s="2">
        <f t="shared" si="17"/>
        <v>11140</v>
      </c>
      <c r="N42" s="116">
        <f t="shared" si="17"/>
        <v>0</v>
      </c>
      <c r="O42" s="2">
        <f t="shared" si="17"/>
        <v>11140</v>
      </c>
    </row>
    <row r="43" spans="1:15" s="15" customFormat="1" ht="24" x14ac:dyDescent="0.25">
      <c r="A43" s="297"/>
      <c r="B43" s="298" t="s">
        <v>30</v>
      </c>
      <c r="C43" s="295"/>
      <c r="D43" s="74">
        <v>51</v>
      </c>
      <c r="E43" s="74">
        <v>0</v>
      </c>
      <c r="F43" s="289">
        <v>851</v>
      </c>
      <c r="G43" s="1" t="s">
        <v>7</v>
      </c>
      <c r="H43" s="1" t="s">
        <v>64</v>
      </c>
      <c r="I43" s="1" t="s">
        <v>620</v>
      </c>
      <c r="J43" s="1" t="s">
        <v>31</v>
      </c>
      <c r="K43" s="2">
        <f>'6 Вед15'!J78</f>
        <v>11140</v>
      </c>
      <c r="L43" s="116">
        <f>'6 Вед15'!K78</f>
        <v>0</v>
      </c>
      <c r="M43" s="116">
        <f>'6 Вед15'!L78</f>
        <v>11140</v>
      </c>
      <c r="N43" s="116">
        <f>'6 Вед15'!M78</f>
        <v>0</v>
      </c>
      <c r="O43" s="116">
        <f>'6 Вед15'!N78</f>
        <v>11140</v>
      </c>
    </row>
    <row r="44" spans="1:15" s="6" customFormat="1" ht="24" customHeight="1" x14ac:dyDescent="0.25">
      <c r="A44" s="583" t="s">
        <v>52</v>
      </c>
      <c r="B44" s="583"/>
      <c r="C44" s="295"/>
      <c r="D44" s="289">
        <v>51</v>
      </c>
      <c r="E44" s="289">
        <v>0</v>
      </c>
      <c r="F44" s="289">
        <v>851</v>
      </c>
      <c r="G44" s="1" t="s">
        <v>23</v>
      </c>
      <c r="H44" s="20" t="s">
        <v>45</v>
      </c>
      <c r="I44" s="20" t="s">
        <v>337</v>
      </c>
      <c r="J44" s="1"/>
      <c r="K44" s="2">
        <f t="shared" ref="K44:O45" si="18">K45</f>
        <v>450000</v>
      </c>
      <c r="L44" s="116">
        <f t="shared" si="18"/>
        <v>0</v>
      </c>
      <c r="M44" s="2">
        <f t="shared" si="18"/>
        <v>450000</v>
      </c>
      <c r="N44" s="116">
        <f t="shared" si="18"/>
        <v>0</v>
      </c>
      <c r="O44" s="2">
        <f t="shared" si="18"/>
        <v>450000</v>
      </c>
    </row>
    <row r="45" spans="1:15" s="6" customFormat="1" ht="18" customHeight="1" x14ac:dyDescent="0.25">
      <c r="A45" s="17"/>
      <c r="B45" s="298" t="s">
        <v>28</v>
      </c>
      <c r="C45" s="294"/>
      <c r="D45" s="289">
        <v>51</v>
      </c>
      <c r="E45" s="289">
        <v>0</v>
      </c>
      <c r="F45" s="289">
        <v>851</v>
      </c>
      <c r="G45" s="1" t="s">
        <v>18</v>
      </c>
      <c r="H45" s="1" t="s">
        <v>45</v>
      </c>
      <c r="I45" s="1" t="s">
        <v>337</v>
      </c>
      <c r="J45" s="1" t="s">
        <v>29</v>
      </c>
      <c r="K45" s="2">
        <f t="shared" si="18"/>
        <v>450000</v>
      </c>
      <c r="L45" s="116">
        <f t="shared" si="18"/>
        <v>0</v>
      </c>
      <c r="M45" s="2">
        <f t="shared" si="18"/>
        <v>450000</v>
      </c>
      <c r="N45" s="116">
        <f t="shared" si="18"/>
        <v>0</v>
      </c>
      <c r="O45" s="2">
        <f t="shared" si="18"/>
        <v>450000</v>
      </c>
    </row>
    <row r="46" spans="1:15" s="6" customFormat="1" ht="26.25" customHeight="1" x14ac:dyDescent="0.25">
      <c r="A46" s="17"/>
      <c r="B46" s="298" t="s">
        <v>30</v>
      </c>
      <c r="C46" s="295"/>
      <c r="D46" s="289">
        <v>51</v>
      </c>
      <c r="E46" s="289">
        <v>0</v>
      </c>
      <c r="F46" s="289">
        <v>851</v>
      </c>
      <c r="G46" s="1" t="s">
        <v>18</v>
      </c>
      <c r="H46" s="1" t="s">
        <v>45</v>
      </c>
      <c r="I46" s="1" t="s">
        <v>337</v>
      </c>
      <c r="J46" s="1" t="s">
        <v>31</v>
      </c>
      <c r="K46" s="2">
        <f>'6 Вед15'!J42</f>
        <v>450000</v>
      </c>
      <c r="L46" s="116">
        <f>'6 Вед15'!K42</f>
        <v>0</v>
      </c>
      <c r="M46" s="2">
        <f>'6 Вед15'!L42</f>
        <v>450000</v>
      </c>
      <c r="N46" s="116">
        <f>'6 Вед15'!M42</f>
        <v>0</v>
      </c>
      <c r="O46" s="2">
        <f>'6 Вед15'!N42</f>
        <v>450000</v>
      </c>
    </row>
    <row r="47" spans="1:15" s="6" customFormat="1" ht="17.25" customHeight="1" x14ac:dyDescent="0.25">
      <c r="A47" s="583" t="s">
        <v>54</v>
      </c>
      <c r="B47" s="583"/>
      <c r="C47" s="295"/>
      <c r="D47" s="289">
        <v>51</v>
      </c>
      <c r="E47" s="289">
        <v>0</v>
      </c>
      <c r="F47" s="289">
        <v>851</v>
      </c>
      <c r="G47" s="1" t="s">
        <v>18</v>
      </c>
      <c r="H47" s="1" t="s">
        <v>45</v>
      </c>
      <c r="I47" s="1" t="s">
        <v>338</v>
      </c>
      <c r="J47" s="1"/>
      <c r="K47" s="2">
        <f>K48</f>
        <v>1575000</v>
      </c>
      <c r="L47" s="116">
        <f t="shared" ref="L47:O47" si="19">L48</f>
        <v>0</v>
      </c>
      <c r="M47" s="2">
        <f t="shared" si="19"/>
        <v>1575000</v>
      </c>
      <c r="N47" s="116">
        <f t="shared" si="19"/>
        <v>0</v>
      </c>
      <c r="O47" s="2">
        <f t="shared" si="19"/>
        <v>1575000</v>
      </c>
    </row>
    <row r="48" spans="1:15" s="6" customFormat="1" ht="12.75" customHeight="1" x14ac:dyDescent="0.25">
      <c r="A48" s="17"/>
      <c r="B48" s="298" t="s">
        <v>28</v>
      </c>
      <c r="C48" s="294"/>
      <c r="D48" s="289">
        <v>51</v>
      </c>
      <c r="E48" s="289">
        <v>0</v>
      </c>
      <c r="F48" s="289">
        <v>851</v>
      </c>
      <c r="G48" s="1" t="s">
        <v>18</v>
      </c>
      <c r="H48" s="1" t="s">
        <v>45</v>
      </c>
      <c r="I48" s="1" t="s">
        <v>338</v>
      </c>
      <c r="J48" s="1" t="s">
        <v>29</v>
      </c>
      <c r="K48" s="2">
        <f t="shared" ref="K48:O48" si="20">K49</f>
        <v>1575000</v>
      </c>
      <c r="L48" s="116">
        <f t="shared" si="20"/>
        <v>0</v>
      </c>
      <c r="M48" s="2">
        <f t="shared" si="20"/>
        <v>1575000</v>
      </c>
      <c r="N48" s="116">
        <f t="shared" si="20"/>
        <v>0</v>
      </c>
      <c r="O48" s="2">
        <f t="shared" si="20"/>
        <v>1575000</v>
      </c>
    </row>
    <row r="49" spans="1:15" s="6" customFormat="1" ht="25.5" customHeight="1" x14ac:dyDescent="0.25">
      <c r="A49" s="17"/>
      <c r="B49" s="298" t="s">
        <v>30</v>
      </c>
      <c r="C49" s="295"/>
      <c r="D49" s="289">
        <v>51</v>
      </c>
      <c r="E49" s="289">
        <v>0</v>
      </c>
      <c r="F49" s="289">
        <v>851</v>
      </c>
      <c r="G49" s="1" t="s">
        <v>18</v>
      </c>
      <c r="H49" s="1" t="s">
        <v>45</v>
      </c>
      <c r="I49" s="1" t="s">
        <v>338</v>
      </c>
      <c r="J49" s="1" t="s">
        <v>31</v>
      </c>
      <c r="K49" s="2">
        <f>'6 Вед15'!J45</f>
        <v>1575000</v>
      </c>
      <c r="L49" s="116">
        <f>'6 Вед15'!K45</f>
        <v>0</v>
      </c>
      <c r="M49" s="2">
        <f>'6 Вед15'!L45</f>
        <v>1575000</v>
      </c>
      <c r="N49" s="116">
        <f>'6 Вед15'!M45</f>
        <v>0</v>
      </c>
      <c r="O49" s="2">
        <f>'6 Вед15'!N45</f>
        <v>1575000</v>
      </c>
    </row>
    <row r="50" spans="1:15" s="6" customFormat="1" ht="26.25" customHeight="1" x14ac:dyDescent="0.25">
      <c r="A50" s="583" t="s">
        <v>70</v>
      </c>
      <c r="B50" s="583"/>
      <c r="C50" s="295"/>
      <c r="D50" s="289">
        <v>51</v>
      </c>
      <c r="E50" s="289">
        <v>0</v>
      </c>
      <c r="F50" s="289">
        <v>851</v>
      </c>
      <c r="G50" s="20" t="s">
        <v>7</v>
      </c>
      <c r="H50" s="20" t="s">
        <v>69</v>
      </c>
      <c r="I50" s="20" t="s">
        <v>341</v>
      </c>
      <c r="J50" s="20"/>
      <c r="K50" s="2">
        <f t="shared" ref="K50:M50" si="21">K51+K53</f>
        <v>173500</v>
      </c>
      <c r="L50" s="116">
        <f t="shared" si="21"/>
        <v>0</v>
      </c>
      <c r="M50" s="2">
        <f t="shared" si="21"/>
        <v>173500</v>
      </c>
      <c r="N50" s="116">
        <f t="shared" ref="N50:O50" si="22">N51+N53</f>
        <v>-12145</v>
      </c>
      <c r="O50" s="2">
        <f t="shared" si="22"/>
        <v>161355</v>
      </c>
    </row>
    <row r="51" spans="1:15" s="6" customFormat="1" ht="38.25" customHeight="1" x14ac:dyDescent="0.25">
      <c r="A51" s="295"/>
      <c r="B51" s="294" t="s">
        <v>22</v>
      </c>
      <c r="C51" s="295"/>
      <c r="D51" s="289">
        <v>51</v>
      </c>
      <c r="E51" s="289">
        <v>0</v>
      </c>
      <c r="F51" s="289">
        <v>851</v>
      </c>
      <c r="G51" s="20" t="s">
        <v>7</v>
      </c>
      <c r="H51" s="20" t="s">
        <v>69</v>
      </c>
      <c r="I51" s="20" t="s">
        <v>341</v>
      </c>
      <c r="J51" s="1" t="s">
        <v>24</v>
      </c>
      <c r="K51" s="2">
        <f t="shared" ref="K51:O51" si="23">K52</f>
        <v>97615</v>
      </c>
      <c r="L51" s="116">
        <f t="shared" si="23"/>
        <v>0</v>
      </c>
      <c r="M51" s="2">
        <f t="shared" si="23"/>
        <v>97615</v>
      </c>
      <c r="N51" s="116">
        <f t="shared" si="23"/>
        <v>0</v>
      </c>
      <c r="O51" s="2">
        <f t="shared" si="23"/>
        <v>97615</v>
      </c>
    </row>
    <row r="52" spans="1:15" s="6" customFormat="1" ht="15" customHeight="1" x14ac:dyDescent="0.25">
      <c r="A52" s="17"/>
      <c r="B52" s="294" t="s">
        <v>25</v>
      </c>
      <c r="C52" s="294"/>
      <c r="D52" s="289">
        <v>51</v>
      </c>
      <c r="E52" s="289">
        <v>0</v>
      </c>
      <c r="F52" s="289">
        <v>851</v>
      </c>
      <c r="G52" s="20" t="s">
        <v>7</v>
      </c>
      <c r="H52" s="20" t="s">
        <v>69</v>
      </c>
      <c r="I52" s="20" t="s">
        <v>341</v>
      </c>
      <c r="J52" s="1" t="s">
        <v>26</v>
      </c>
      <c r="K52" s="2">
        <f>'6 Вед15'!J92</f>
        <v>97615</v>
      </c>
      <c r="L52" s="116">
        <f>'6 Вед15'!K92</f>
        <v>0</v>
      </c>
      <c r="M52" s="2">
        <f>'6 Вед15'!L92</f>
        <v>97615</v>
      </c>
      <c r="N52" s="116">
        <f>'6 Вед15'!M92</f>
        <v>0</v>
      </c>
      <c r="O52" s="2">
        <f>'6 Вед15'!N92</f>
        <v>97615</v>
      </c>
    </row>
    <row r="53" spans="1:15" s="6" customFormat="1" ht="15" customHeight="1" x14ac:dyDescent="0.25">
      <c r="A53" s="17"/>
      <c r="B53" s="298" t="s">
        <v>28</v>
      </c>
      <c r="C53" s="294"/>
      <c r="D53" s="289">
        <v>51</v>
      </c>
      <c r="E53" s="289">
        <v>0</v>
      </c>
      <c r="F53" s="289">
        <v>851</v>
      </c>
      <c r="G53" s="20" t="s">
        <v>7</v>
      </c>
      <c r="H53" s="20" t="s">
        <v>69</v>
      </c>
      <c r="I53" s="20" t="s">
        <v>341</v>
      </c>
      <c r="J53" s="1" t="s">
        <v>29</v>
      </c>
      <c r="K53" s="2">
        <f>K54</f>
        <v>75885</v>
      </c>
      <c r="L53" s="116">
        <f t="shared" ref="L53:O53" si="24">L54</f>
        <v>0</v>
      </c>
      <c r="M53" s="2">
        <f t="shared" si="24"/>
        <v>75885</v>
      </c>
      <c r="N53" s="116">
        <f t="shared" si="24"/>
        <v>-12145</v>
      </c>
      <c r="O53" s="2">
        <f t="shared" si="24"/>
        <v>63740</v>
      </c>
    </row>
    <row r="54" spans="1:15" s="6" customFormat="1" ht="24" x14ac:dyDescent="0.25">
      <c r="A54" s="17"/>
      <c r="B54" s="298" t="s">
        <v>30</v>
      </c>
      <c r="C54" s="295"/>
      <c r="D54" s="289">
        <v>51</v>
      </c>
      <c r="E54" s="289">
        <v>0</v>
      </c>
      <c r="F54" s="289">
        <v>851</v>
      </c>
      <c r="G54" s="20" t="s">
        <v>7</v>
      </c>
      <c r="H54" s="20" t="s">
        <v>69</v>
      </c>
      <c r="I54" s="20" t="s">
        <v>341</v>
      </c>
      <c r="J54" s="1" t="s">
        <v>31</v>
      </c>
      <c r="K54" s="2">
        <f>'6 Вед15'!J94</f>
        <v>75885</v>
      </c>
      <c r="L54" s="116">
        <f>'6 Вед15'!K94</f>
        <v>0</v>
      </c>
      <c r="M54" s="2">
        <f>'6 Вед15'!L94</f>
        <v>75885</v>
      </c>
      <c r="N54" s="116">
        <f>'6 Вед15'!M94</f>
        <v>-12145</v>
      </c>
      <c r="O54" s="2">
        <f>'6 Вед15'!N94</f>
        <v>63740</v>
      </c>
    </row>
    <row r="55" spans="1:15" s="221" customFormat="1" ht="14.25" customHeight="1" x14ac:dyDescent="0.2">
      <c r="A55" s="552" t="s">
        <v>570</v>
      </c>
      <c r="B55" s="553"/>
      <c r="C55" s="220"/>
      <c r="D55" s="289">
        <v>51</v>
      </c>
      <c r="E55" s="289">
        <v>0</v>
      </c>
      <c r="F55" s="289">
        <v>851</v>
      </c>
      <c r="G55" s="20" t="s">
        <v>18</v>
      </c>
      <c r="H55" s="20" t="s">
        <v>45</v>
      </c>
      <c r="I55" s="20" t="s">
        <v>573</v>
      </c>
      <c r="J55" s="20"/>
      <c r="K55" s="24">
        <f>K56+K58</f>
        <v>1572000</v>
      </c>
      <c r="L55" s="277">
        <f t="shared" ref="L55:M55" si="25">L56+L58</f>
        <v>763089</v>
      </c>
      <c r="M55" s="277">
        <f t="shared" si="25"/>
        <v>2335089</v>
      </c>
      <c r="N55" s="277">
        <f t="shared" ref="N55:O55" si="26">N56+N58</f>
        <v>0</v>
      </c>
      <c r="O55" s="277">
        <f t="shared" si="26"/>
        <v>2335089</v>
      </c>
    </row>
    <row r="56" spans="1:15" s="6" customFormat="1" ht="16.5" customHeight="1" x14ac:dyDescent="0.25">
      <c r="A56" s="17"/>
      <c r="B56" s="298" t="s">
        <v>28</v>
      </c>
      <c r="C56" s="294"/>
      <c r="D56" s="289">
        <v>51</v>
      </c>
      <c r="E56" s="289">
        <v>0</v>
      </c>
      <c r="F56" s="289">
        <v>851</v>
      </c>
      <c r="G56" s="20" t="s">
        <v>18</v>
      </c>
      <c r="H56" s="20" t="s">
        <v>45</v>
      </c>
      <c r="I56" s="20" t="s">
        <v>573</v>
      </c>
      <c r="J56" s="1" t="s">
        <v>29</v>
      </c>
      <c r="K56" s="2">
        <f>K57</f>
        <v>172000</v>
      </c>
      <c r="L56" s="116">
        <f t="shared" ref="L56:N56" si="27">L57</f>
        <v>0</v>
      </c>
      <c r="M56" s="2">
        <f t="shared" ref="M56:O56" si="28">M57</f>
        <v>172000</v>
      </c>
      <c r="N56" s="116">
        <f t="shared" si="27"/>
        <v>0</v>
      </c>
      <c r="O56" s="2">
        <f t="shared" si="28"/>
        <v>172000</v>
      </c>
    </row>
    <row r="57" spans="1:15" s="6" customFormat="1" ht="24" x14ac:dyDescent="0.25">
      <c r="A57" s="17"/>
      <c r="B57" s="298" t="s">
        <v>30</v>
      </c>
      <c r="C57" s="295"/>
      <c r="D57" s="289">
        <v>51</v>
      </c>
      <c r="E57" s="289">
        <v>0</v>
      </c>
      <c r="F57" s="289">
        <v>851</v>
      </c>
      <c r="G57" s="20" t="s">
        <v>18</v>
      </c>
      <c r="H57" s="20" t="s">
        <v>45</v>
      </c>
      <c r="I57" s="20" t="s">
        <v>573</v>
      </c>
      <c r="J57" s="1" t="s">
        <v>31</v>
      </c>
      <c r="K57" s="2">
        <f>'6 Вед15'!J48</f>
        <v>172000</v>
      </c>
      <c r="L57" s="116">
        <f>'6 Вед15'!K48</f>
        <v>0</v>
      </c>
      <c r="M57" s="116">
        <f>'6 Вед15'!L48</f>
        <v>172000</v>
      </c>
      <c r="N57" s="116">
        <f>'6 Вед15'!M48</f>
        <v>0</v>
      </c>
      <c r="O57" s="116">
        <f>'6 Вед15'!N48</f>
        <v>172000</v>
      </c>
    </row>
    <row r="58" spans="1:15" s="221" customFormat="1" ht="14.25" customHeight="1" x14ac:dyDescent="0.2">
      <c r="A58" s="222"/>
      <c r="B58" s="295" t="s">
        <v>597</v>
      </c>
      <c r="C58" s="220"/>
      <c r="D58" s="289">
        <v>51</v>
      </c>
      <c r="E58" s="289">
        <v>0</v>
      </c>
      <c r="F58" s="289">
        <v>851</v>
      </c>
      <c r="G58" s="20" t="s">
        <v>18</v>
      </c>
      <c r="H58" s="20" t="s">
        <v>45</v>
      </c>
      <c r="I58" s="20" t="s">
        <v>573</v>
      </c>
      <c r="J58" s="20" t="s">
        <v>77</v>
      </c>
      <c r="K58" s="24">
        <f t="shared" ref="K58:O58" si="29">K59</f>
        <v>1400000</v>
      </c>
      <c r="L58" s="277">
        <f t="shared" si="29"/>
        <v>763089</v>
      </c>
      <c r="M58" s="24">
        <f t="shared" si="29"/>
        <v>2163089</v>
      </c>
      <c r="N58" s="277">
        <f t="shared" si="29"/>
        <v>0</v>
      </c>
      <c r="O58" s="24">
        <f t="shared" si="29"/>
        <v>2163089</v>
      </c>
    </row>
    <row r="59" spans="1:15" s="221" customFormat="1" ht="36" x14ac:dyDescent="0.2">
      <c r="A59" s="222"/>
      <c r="B59" s="295" t="s">
        <v>78</v>
      </c>
      <c r="C59" s="220"/>
      <c r="D59" s="289">
        <v>51</v>
      </c>
      <c r="E59" s="289">
        <v>0</v>
      </c>
      <c r="F59" s="289">
        <v>851</v>
      </c>
      <c r="G59" s="20" t="s">
        <v>18</v>
      </c>
      <c r="H59" s="20" t="s">
        <v>45</v>
      </c>
      <c r="I59" s="20" t="s">
        <v>573</v>
      </c>
      <c r="J59" s="20" t="s">
        <v>79</v>
      </c>
      <c r="K59" s="24">
        <f>'6 Вед15'!J50</f>
        <v>1400000</v>
      </c>
      <c r="L59" s="277">
        <f>'6 Вед15'!K50</f>
        <v>763089</v>
      </c>
      <c r="M59" s="24">
        <f>'6 Вед15'!L50</f>
        <v>2163089</v>
      </c>
      <c r="N59" s="277">
        <f>'6 Вед15'!M50</f>
        <v>0</v>
      </c>
      <c r="O59" s="24">
        <f>'6 Вед15'!N50</f>
        <v>2163089</v>
      </c>
    </row>
    <row r="60" spans="1:15" s="6" customFormat="1" ht="24" customHeight="1" x14ac:dyDescent="0.25">
      <c r="A60" s="583" t="s">
        <v>48</v>
      </c>
      <c r="B60" s="583"/>
      <c r="C60" s="295"/>
      <c r="D60" s="289">
        <v>51</v>
      </c>
      <c r="E60" s="289">
        <v>0</v>
      </c>
      <c r="F60" s="289">
        <v>851</v>
      </c>
      <c r="G60" s="1" t="s">
        <v>18</v>
      </c>
      <c r="H60" s="1" t="s">
        <v>45</v>
      </c>
      <c r="I60" s="1" t="s">
        <v>335</v>
      </c>
      <c r="J60" s="1"/>
      <c r="K60" s="2">
        <f t="shared" ref="K60:O61" si="30">K61</f>
        <v>2000000</v>
      </c>
      <c r="L60" s="116">
        <f t="shared" si="30"/>
        <v>39999</v>
      </c>
      <c r="M60" s="2">
        <f t="shared" si="30"/>
        <v>2039999</v>
      </c>
      <c r="N60" s="116">
        <f t="shared" si="30"/>
        <v>0</v>
      </c>
      <c r="O60" s="2">
        <f t="shared" si="30"/>
        <v>2039999</v>
      </c>
    </row>
    <row r="61" spans="1:15" s="6" customFormat="1" ht="14.25" customHeight="1" x14ac:dyDescent="0.25">
      <c r="A61" s="17"/>
      <c r="B61" s="298" t="s">
        <v>28</v>
      </c>
      <c r="C61" s="294"/>
      <c r="D61" s="289">
        <v>51</v>
      </c>
      <c r="E61" s="289">
        <v>0</v>
      </c>
      <c r="F61" s="289">
        <v>851</v>
      </c>
      <c r="G61" s="1" t="s">
        <v>18</v>
      </c>
      <c r="H61" s="20" t="s">
        <v>45</v>
      </c>
      <c r="I61" s="20" t="s">
        <v>335</v>
      </c>
      <c r="J61" s="1" t="s">
        <v>29</v>
      </c>
      <c r="K61" s="2">
        <f t="shared" si="30"/>
        <v>2000000</v>
      </c>
      <c r="L61" s="116">
        <f t="shared" si="30"/>
        <v>39999</v>
      </c>
      <c r="M61" s="2">
        <f t="shared" si="30"/>
        <v>2039999</v>
      </c>
      <c r="N61" s="116">
        <f t="shared" si="30"/>
        <v>0</v>
      </c>
      <c r="O61" s="2">
        <f t="shared" si="30"/>
        <v>2039999</v>
      </c>
    </row>
    <row r="62" spans="1:15" s="6" customFormat="1" ht="25.5" customHeight="1" x14ac:dyDescent="0.25">
      <c r="A62" s="17"/>
      <c r="B62" s="298" t="s">
        <v>30</v>
      </c>
      <c r="C62" s="295"/>
      <c r="D62" s="289">
        <v>51</v>
      </c>
      <c r="E62" s="289">
        <v>0</v>
      </c>
      <c r="F62" s="289">
        <v>851</v>
      </c>
      <c r="G62" s="1" t="s">
        <v>18</v>
      </c>
      <c r="H62" s="20" t="s">
        <v>45</v>
      </c>
      <c r="I62" s="20" t="s">
        <v>335</v>
      </c>
      <c r="J62" s="1" t="s">
        <v>31</v>
      </c>
      <c r="K62" s="2">
        <f>'6 Вед15'!J53</f>
        <v>2000000</v>
      </c>
      <c r="L62" s="116">
        <f>'6 Вед15'!K53</f>
        <v>39999</v>
      </c>
      <c r="M62" s="2">
        <f>'6 Вед15'!L53</f>
        <v>2039999</v>
      </c>
      <c r="N62" s="116">
        <f>'6 Вед15'!M53</f>
        <v>0</v>
      </c>
      <c r="O62" s="2">
        <f>'6 Вед15'!N53</f>
        <v>2039999</v>
      </c>
    </row>
    <row r="63" spans="1:15" s="6" customFormat="1" ht="14.25" customHeight="1" x14ac:dyDescent="0.25">
      <c r="A63" s="583" t="s">
        <v>50</v>
      </c>
      <c r="B63" s="583"/>
      <c r="C63" s="295"/>
      <c r="D63" s="289">
        <v>51</v>
      </c>
      <c r="E63" s="289">
        <v>0</v>
      </c>
      <c r="F63" s="289">
        <v>851</v>
      </c>
      <c r="G63" s="1" t="s">
        <v>18</v>
      </c>
      <c r="H63" s="20" t="s">
        <v>45</v>
      </c>
      <c r="I63" s="20" t="s">
        <v>336</v>
      </c>
      <c r="J63" s="1"/>
      <c r="K63" s="2">
        <f t="shared" ref="K63:O64" si="31">K64</f>
        <v>300000</v>
      </c>
      <c r="L63" s="116">
        <f t="shared" si="31"/>
        <v>0</v>
      </c>
      <c r="M63" s="2">
        <f t="shared" si="31"/>
        <v>300000</v>
      </c>
      <c r="N63" s="116">
        <f t="shared" si="31"/>
        <v>0</v>
      </c>
      <c r="O63" s="2">
        <f t="shared" si="31"/>
        <v>300000</v>
      </c>
    </row>
    <row r="64" spans="1:15" s="6" customFormat="1" ht="18" customHeight="1" x14ac:dyDescent="0.25">
      <c r="A64" s="17"/>
      <c r="B64" s="298" t="s">
        <v>28</v>
      </c>
      <c r="C64" s="294"/>
      <c r="D64" s="289">
        <v>51</v>
      </c>
      <c r="E64" s="289">
        <v>0</v>
      </c>
      <c r="F64" s="289">
        <v>851</v>
      </c>
      <c r="G64" s="1" t="s">
        <v>18</v>
      </c>
      <c r="H64" s="20" t="s">
        <v>45</v>
      </c>
      <c r="I64" s="20" t="s">
        <v>336</v>
      </c>
      <c r="J64" s="1" t="s">
        <v>29</v>
      </c>
      <c r="K64" s="2">
        <f t="shared" si="31"/>
        <v>300000</v>
      </c>
      <c r="L64" s="116">
        <f t="shared" si="31"/>
        <v>0</v>
      </c>
      <c r="M64" s="2">
        <f t="shared" si="31"/>
        <v>300000</v>
      </c>
      <c r="N64" s="116">
        <f t="shared" si="31"/>
        <v>0</v>
      </c>
      <c r="O64" s="2">
        <f t="shared" si="31"/>
        <v>300000</v>
      </c>
    </row>
    <row r="65" spans="1:15" s="6" customFormat="1" ht="24" x14ac:dyDescent="0.25">
      <c r="A65" s="17"/>
      <c r="B65" s="298" t="s">
        <v>30</v>
      </c>
      <c r="C65" s="295"/>
      <c r="D65" s="289">
        <v>51</v>
      </c>
      <c r="E65" s="289">
        <v>0</v>
      </c>
      <c r="F65" s="289">
        <v>851</v>
      </c>
      <c r="G65" s="1" t="s">
        <v>18</v>
      </c>
      <c r="H65" s="20" t="s">
        <v>45</v>
      </c>
      <c r="I65" s="20" t="s">
        <v>336</v>
      </c>
      <c r="J65" s="1" t="s">
        <v>31</v>
      </c>
      <c r="K65" s="2">
        <f>'6 Вед15'!J56</f>
        <v>300000</v>
      </c>
      <c r="L65" s="116">
        <f>'6 Вед15'!K56</f>
        <v>0</v>
      </c>
      <c r="M65" s="2">
        <f>'6 Вед15'!L56</f>
        <v>300000</v>
      </c>
      <c r="N65" s="116">
        <f>'6 Вед15'!M56</f>
        <v>0</v>
      </c>
      <c r="O65" s="2">
        <f>'6 Вед15'!N56</f>
        <v>300000</v>
      </c>
    </row>
    <row r="66" spans="1:15" s="6" customFormat="1" x14ac:dyDescent="0.25">
      <c r="A66" s="583" t="s">
        <v>82</v>
      </c>
      <c r="B66" s="583"/>
      <c r="C66" s="295"/>
      <c r="D66" s="289">
        <v>51</v>
      </c>
      <c r="E66" s="289">
        <v>0</v>
      </c>
      <c r="F66" s="289">
        <v>851</v>
      </c>
      <c r="G66" s="1" t="s">
        <v>37</v>
      </c>
      <c r="H66" s="20" t="s">
        <v>74</v>
      </c>
      <c r="I66" s="20" t="s">
        <v>343</v>
      </c>
      <c r="J66" s="1"/>
      <c r="K66" s="2">
        <f>K67+K69</f>
        <v>8214000</v>
      </c>
      <c r="L66" s="116">
        <f t="shared" ref="L66:M66" si="32">L67+L69</f>
        <v>0</v>
      </c>
      <c r="M66" s="2">
        <f t="shared" si="32"/>
        <v>8214000</v>
      </c>
      <c r="N66" s="116">
        <f t="shared" ref="N66:O66" si="33">N67+N69</f>
        <v>-940718</v>
      </c>
      <c r="O66" s="2">
        <f t="shared" si="33"/>
        <v>7273282</v>
      </c>
    </row>
    <row r="67" spans="1:15" s="6" customFormat="1" ht="24" hidden="1" customHeight="1" x14ac:dyDescent="0.25">
      <c r="A67" s="295"/>
      <c r="B67" s="295" t="s">
        <v>28</v>
      </c>
      <c r="C67" s="295"/>
      <c r="D67" s="289">
        <v>51</v>
      </c>
      <c r="E67" s="289">
        <v>0</v>
      </c>
      <c r="F67" s="289">
        <v>851</v>
      </c>
      <c r="G67" s="1" t="s">
        <v>37</v>
      </c>
      <c r="H67" s="20" t="s">
        <v>74</v>
      </c>
      <c r="I67" s="20" t="s">
        <v>343</v>
      </c>
      <c r="J67" s="1" t="s">
        <v>29</v>
      </c>
      <c r="K67" s="2">
        <f t="shared" ref="K67:O67" si="34">K68</f>
        <v>0</v>
      </c>
      <c r="L67" s="116">
        <f t="shared" si="34"/>
        <v>0</v>
      </c>
      <c r="M67" s="2">
        <f t="shared" si="34"/>
        <v>0</v>
      </c>
      <c r="N67" s="116">
        <f t="shared" si="34"/>
        <v>0</v>
      </c>
      <c r="O67" s="2">
        <f t="shared" si="34"/>
        <v>0</v>
      </c>
    </row>
    <row r="68" spans="1:15" s="6" customFormat="1" ht="24" hidden="1" x14ac:dyDescent="0.25">
      <c r="A68" s="295"/>
      <c r="B68" s="295" t="s">
        <v>30</v>
      </c>
      <c r="C68" s="295"/>
      <c r="D68" s="289">
        <v>51</v>
      </c>
      <c r="E68" s="289">
        <v>0</v>
      </c>
      <c r="F68" s="289">
        <v>851</v>
      </c>
      <c r="G68" s="1" t="s">
        <v>37</v>
      </c>
      <c r="H68" s="20" t="s">
        <v>74</v>
      </c>
      <c r="I68" s="20" t="s">
        <v>343</v>
      </c>
      <c r="J68" s="1" t="s">
        <v>31</v>
      </c>
      <c r="K68" s="2">
        <f>'6 Вед15'!J123</f>
        <v>0</v>
      </c>
      <c r="L68" s="116">
        <f>'6 Вед15'!K123</f>
        <v>0</v>
      </c>
      <c r="M68" s="2">
        <f>'6 Вед15'!L123</f>
        <v>0</v>
      </c>
      <c r="N68" s="116">
        <f>'6 Вед15'!M123</f>
        <v>0</v>
      </c>
      <c r="O68" s="2">
        <f>'6 Вед15'!N123</f>
        <v>0</v>
      </c>
    </row>
    <row r="69" spans="1:15" s="6" customFormat="1" ht="15.75" customHeight="1" x14ac:dyDescent="0.25">
      <c r="A69" s="295"/>
      <c r="B69" s="295" t="s">
        <v>597</v>
      </c>
      <c r="C69" s="295"/>
      <c r="D69" s="289">
        <v>51</v>
      </c>
      <c r="E69" s="289">
        <v>0</v>
      </c>
      <c r="F69" s="289">
        <v>851</v>
      </c>
      <c r="G69" s="1" t="s">
        <v>37</v>
      </c>
      <c r="H69" s="20" t="s">
        <v>74</v>
      </c>
      <c r="I69" s="20" t="s">
        <v>343</v>
      </c>
      <c r="J69" s="1" t="s">
        <v>77</v>
      </c>
      <c r="K69" s="2">
        <f>K70</f>
        <v>8214000</v>
      </c>
      <c r="L69" s="116">
        <f t="shared" ref="L69:O69" si="35">L70</f>
        <v>0</v>
      </c>
      <c r="M69" s="2">
        <f t="shared" si="35"/>
        <v>8214000</v>
      </c>
      <c r="N69" s="116">
        <f t="shared" si="35"/>
        <v>-940718</v>
      </c>
      <c r="O69" s="2">
        <f t="shared" si="35"/>
        <v>7273282</v>
      </c>
    </row>
    <row r="70" spans="1:15" s="6" customFormat="1" ht="36" x14ac:dyDescent="0.25">
      <c r="A70" s="295"/>
      <c r="B70" s="298" t="s">
        <v>78</v>
      </c>
      <c r="C70" s="295"/>
      <c r="D70" s="289">
        <v>51</v>
      </c>
      <c r="E70" s="289">
        <v>0</v>
      </c>
      <c r="F70" s="289">
        <v>851</v>
      </c>
      <c r="G70" s="1" t="s">
        <v>37</v>
      </c>
      <c r="H70" s="20" t="s">
        <v>74</v>
      </c>
      <c r="I70" s="20" t="s">
        <v>343</v>
      </c>
      <c r="J70" s="1" t="s">
        <v>79</v>
      </c>
      <c r="K70" s="2">
        <f>'6 Вед15'!J125</f>
        <v>8214000</v>
      </c>
      <c r="L70" s="116">
        <f>'6 Вед15'!K125</f>
        <v>0</v>
      </c>
      <c r="M70" s="2">
        <f>'6 Вед15'!L125</f>
        <v>8214000</v>
      </c>
      <c r="N70" s="116">
        <f>'6 Вед15'!M125</f>
        <v>-940718</v>
      </c>
      <c r="O70" s="2">
        <f>'6 Вед15'!N125</f>
        <v>7273282</v>
      </c>
    </row>
    <row r="71" spans="1:15" s="6" customFormat="1" ht="14.25" customHeight="1" x14ac:dyDescent="0.25">
      <c r="A71" s="583" t="s">
        <v>75</v>
      </c>
      <c r="B71" s="583"/>
      <c r="C71" s="295"/>
      <c r="D71" s="289">
        <v>51</v>
      </c>
      <c r="E71" s="289">
        <v>0</v>
      </c>
      <c r="F71" s="289">
        <v>851</v>
      </c>
      <c r="G71" s="20" t="s">
        <v>64</v>
      </c>
      <c r="H71" s="20" t="s">
        <v>74</v>
      </c>
      <c r="I71" s="20" t="s">
        <v>342</v>
      </c>
      <c r="J71" s="1"/>
      <c r="K71" s="2">
        <f t="shared" ref="K71:M71" si="36">K73</f>
        <v>700000</v>
      </c>
      <c r="L71" s="116">
        <f t="shared" si="36"/>
        <v>10570</v>
      </c>
      <c r="M71" s="2">
        <f t="shared" si="36"/>
        <v>710570</v>
      </c>
      <c r="N71" s="116">
        <f t="shared" ref="N71:O71" si="37">N73</f>
        <v>0</v>
      </c>
      <c r="O71" s="2">
        <f t="shared" si="37"/>
        <v>710570</v>
      </c>
    </row>
    <row r="72" spans="1:15" s="6" customFormat="1" ht="13.5" customHeight="1" x14ac:dyDescent="0.25">
      <c r="A72" s="295"/>
      <c r="B72" s="295" t="s">
        <v>597</v>
      </c>
      <c r="C72" s="295"/>
      <c r="D72" s="289">
        <v>51</v>
      </c>
      <c r="E72" s="289">
        <v>0</v>
      </c>
      <c r="F72" s="289">
        <v>851</v>
      </c>
      <c r="G72" s="20" t="s">
        <v>64</v>
      </c>
      <c r="H72" s="20" t="s">
        <v>74</v>
      </c>
      <c r="I72" s="20" t="s">
        <v>342</v>
      </c>
      <c r="J72" s="1" t="s">
        <v>77</v>
      </c>
      <c r="K72" s="2">
        <f t="shared" ref="K72:O72" si="38">K73</f>
        <v>700000</v>
      </c>
      <c r="L72" s="116">
        <f t="shared" si="38"/>
        <v>10570</v>
      </c>
      <c r="M72" s="2">
        <f t="shared" si="38"/>
        <v>710570</v>
      </c>
      <c r="N72" s="116">
        <f t="shared" si="38"/>
        <v>0</v>
      </c>
      <c r="O72" s="2">
        <f t="shared" si="38"/>
        <v>710570</v>
      </c>
    </row>
    <row r="73" spans="1:15" s="6" customFormat="1" ht="36" x14ac:dyDescent="0.25">
      <c r="A73" s="17"/>
      <c r="B73" s="298" t="s">
        <v>78</v>
      </c>
      <c r="C73" s="295"/>
      <c r="D73" s="289">
        <v>51</v>
      </c>
      <c r="E73" s="289">
        <v>0</v>
      </c>
      <c r="F73" s="289">
        <v>851</v>
      </c>
      <c r="G73" s="20" t="s">
        <v>64</v>
      </c>
      <c r="H73" s="20" t="s">
        <v>74</v>
      </c>
      <c r="I73" s="20" t="s">
        <v>342</v>
      </c>
      <c r="J73" s="1" t="s">
        <v>79</v>
      </c>
      <c r="K73" s="2">
        <f>'6 Вед15'!J109</f>
        <v>700000</v>
      </c>
      <c r="L73" s="116">
        <f>'6 Вед15'!K109</f>
        <v>10570</v>
      </c>
      <c r="M73" s="2">
        <f>'6 Вед15'!L109</f>
        <v>710570</v>
      </c>
      <c r="N73" s="116">
        <f>'6 Вед15'!M109</f>
        <v>0</v>
      </c>
      <c r="O73" s="2">
        <f>'6 Вед15'!N109</f>
        <v>710570</v>
      </c>
    </row>
    <row r="74" spans="1:15" s="6" customFormat="1" x14ac:dyDescent="0.25">
      <c r="A74" s="583" t="s">
        <v>763</v>
      </c>
      <c r="B74" s="583"/>
      <c r="C74" s="384"/>
      <c r="D74" s="289">
        <v>51</v>
      </c>
      <c r="E74" s="289">
        <v>0</v>
      </c>
      <c r="F74" s="289">
        <v>851</v>
      </c>
      <c r="G74" s="20"/>
      <c r="H74" s="20"/>
      <c r="I74" s="20" t="s">
        <v>765</v>
      </c>
      <c r="J74" s="1"/>
      <c r="K74" s="2">
        <f t="shared" ref="K74:L74" si="39">K76</f>
        <v>0</v>
      </c>
      <c r="L74" s="2">
        <f t="shared" si="39"/>
        <v>15000</v>
      </c>
      <c r="M74" s="2">
        <f t="shared" ref="M74:M76" si="40">K74+L74</f>
        <v>15000</v>
      </c>
      <c r="N74" s="2">
        <f t="shared" ref="N74" si="41">N76</f>
        <v>0</v>
      </c>
      <c r="O74" s="2">
        <f t="shared" ref="O74:O76" si="42">M74+N74</f>
        <v>15000</v>
      </c>
    </row>
    <row r="75" spans="1:15" s="6" customFormat="1" ht="24" x14ac:dyDescent="0.25">
      <c r="A75" s="384"/>
      <c r="B75" s="384" t="s">
        <v>597</v>
      </c>
      <c r="C75" s="384"/>
      <c r="D75" s="289">
        <v>51</v>
      </c>
      <c r="E75" s="289">
        <v>0</v>
      </c>
      <c r="F75" s="289">
        <v>851</v>
      </c>
      <c r="G75" s="20" t="s">
        <v>64</v>
      </c>
      <c r="H75" s="20" t="s">
        <v>74</v>
      </c>
      <c r="I75" s="20" t="s">
        <v>765</v>
      </c>
      <c r="J75" s="1" t="s">
        <v>77</v>
      </c>
      <c r="K75" s="2">
        <f t="shared" ref="K75:N75" si="43">K76</f>
        <v>0</v>
      </c>
      <c r="L75" s="2">
        <f t="shared" si="43"/>
        <v>15000</v>
      </c>
      <c r="M75" s="2">
        <f t="shared" si="40"/>
        <v>15000</v>
      </c>
      <c r="N75" s="2">
        <f t="shared" si="43"/>
        <v>0</v>
      </c>
      <c r="O75" s="2">
        <f t="shared" si="42"/>
        <v>15000</v>
      </c>
    </row>
    <row r="76" spans="1:15" s="6" customFormat="1" ht="36" x14ac:dyDescent="0.25">
      <c r="A76" s="17"/>
      <c r="B76" s="384" t="s">
        <v>78</v>
      </c>
      <c r="C76" s="384"/>
      <c r="D76" s="289">
        <v>51</v>
      </c>
      <c r="E76" s="289">
        <v>0</v>
      </c>
      <c r="F76" s="289">
        <v>851</v>
      </c>
      <c r="G76" s="20" t="s">
        <v>64</v>
      </c>
      <c r="H76" s="20" t="s">
        <v>74</v>
      </c>
      <c r="I76" s="20" t="s">
        <v>765</v>
      </c>
      <c r="J76" s="1" t="s">
        <v>79</v>
      </c>
      <c r="K76" s="2">
        <v>0</v>
      </c>
      <c r="L76" s="2">
        <f>'6 Вед15'!K112</f>
        <v>15000</v>
      </c>
      <c r="M76" s="2">
        <f t="shared" si="40"/>
        <v>15000</v>
      </c>
      <c r="N76" s="2">
        <f>'6 Вед15'!M112</f>
        <v>0</v>
      </c>
      <c r="O76" s="2">
        <f t="shared" si="42"/>
        <v>15000</v>
      </c>
    </row>
    <row r="77" spans="1:15" s="6" customFormat="1" x14ac:dyDescent="0.25">
      <c r="A77" s="574" t="s">
        <v>782</v>
      </c>
      <c r="B77" s="575"/>
      <c r="C77" s="398"/>
      <c r="D77" s="289">
        <v>51</v>
      </c>
      <c r="E77" s="289">
        <v>0</v>
      </c>
      <c r="F77" s="289">
        <v>851</v>
      </c>
      <c r="G77" s="20"/>
      <c r="H77" s="20"/>
      <c r="I77" s="20" t="s">
        <v>797</v>
      </c>
      <c r="J77" s="1"/>
      <c r="K77" s="2">
        <f>K78</f>
        <v>0</v>
      </c>
      <c r="L77" s="2">
        <f t="shared" ref="L77:O78" si="44">L78</f>
        <v>632468</v>
      </c>
      <c r="M77" s="2">
        <f t="shared" si="44"/>
        <v>632468</v>
      </c>
      <c r="N77" s="2">
        <f t="shared" si="44"/>
        <v>0</v>
      </c>
      <c r="O77" s="2">
        <f t="shared" si="44"/>
        <v>632468</v>
      </c>
    </row>
    <row r="78" spans="1:15" s="6" customFormat="1" ht="24" x14ac:dyDescent="0.25">
      <c r="A78" s="398"/>
      <c r="B78" s="404" t="s">
        <v>28</v>
      </c>
      <c r="C78" s="398"/>
      <c r="D78" s="289">
        <v>51</v>
      </c>
      <c r="E78" s="289">
        <v>0</v>
      </c>
      <c r="F78" s="289">
        <v>851</v>
      </c>
      <c r="G78" s="20"/>
      <c r="H78" s="20"/>
      <c r="I78" s="20" t="s">
        <v>797</v>
      </c>
      <c r="J78" s="1" t="s">
        <v>29</v>
      </c>
      <c r="K78" s="2">
        <f>K79</f>
        <v>0</v>
      </c>
      <c r="L78" s="2">
        <f t="shared" si="44"/>
        <v>632468</v>
      </c>
      <c r="M78" s="2">
        <f t="shared" si="44"/>
        <v>632468</v>
      </c>
      <c r="N78" s="2">
        <f t="shared" si="44"/>
        <v>0</v>
      </c>
      <c r="O78" s="2">
        <f t="shared" si="44"/>
        <v>632468</v>
      </c>
    </row>
    <row r="79" spans="1:15" s="6" customFormat="1" ht="24" x14ac:dyDescent="0.25">
      <c r="A79" s="398"/>
      <c r="B79" s="404" t="s">
        <v>30</v>
      </c>
      <c r="C79" s="398"/>
      <c r="D79" s="289">
        <v>51</v>
      </c>
      <c r="E79" s="289">
        <v>0</v>
      </c>
      <c r="F79" s="289">
        <v>851</v>
      </c>
      <c r="G79" s="20"/>
      <c r="H79" s="20"/>
      <c r="I79" s="20" t="s">
        <v>797</v>
      </c>
      <c r="J79" s="1" t="s">
        <v>31</v>
      </c>
      <c r="K79" s="2"/>
      <c r="L79" s="116">
        <f>'6 Вед15'!K115</f>
        <v>632468</v>
      </c>
      <c r="M79" s="2">
        <f>K79+L79</f>
        <v>632468</v>
      </c>
      <c r="N79" s="116">
        <f>'6 Вед15'!M115</f>
        <v>0</v>
      </c>
      <c r="O79" s="2">
        <f>M79+N79</f>
        <v>632468</v>
      </c>
    </row>
    <row r="80" spans="1:15" s="26" customFormat="1" ht="48" customHeight="1" x14ac:dyDescent="0.25">
      <c r="A80" s="595" t="s">
        <v>658</v>
      </c>
      <c r="B80" s="595"/>
      <c r="C80" s="294"/>
      <c r="D80" s="74">
        <v>51</v>
      </c>
      <c r="E80" s="289">
        <v>0</v>
      </c>
      <c r="F80" s="74">
        <v>851</v>
      </c>
      <c r="G80" s="289" t="s">
        <v>74</v>
      </c>
      <c r="H80" s="289" t="s">
        <v>4</v>
      </c>
      <c r="I80" s="289">
        <v>5118</v>
      </c>
      <c r="J80" s="294" t="s">
        <v>164</v>
      </c>
      <c r="K80" s="44">
        <f t="shared" ref="K80:M80" si="45">K81+K83</f>
        <v>428902</v>
      </c>
      <c r="L80" s="278">
        <f t="shared" si="45"/>
        <v>0</v>
      </c>
      <c r="M80" s="44">
        <f t="shared" si="45"/>
        <v>428902</v>
      </c>
      <c r="N80" s="278">
        <f t="shared" ref="N80:O80" si="46">N81+N83</f>
        <v>-39699</v>
      </c>
      <c r="O80" s="44">
        <f t="shared" si="46"/>
        <v>389203</v>
      </c>
    </row>
    <row r="81" spans="1:15" s="6" customFormat="1" ht="36" customHeight="1" x14ac:dyDescent="0.25">
      <c r="A81" s="17"/>
      <c r="B81" s="294" t="s">
        <v>22</v>
      </c>
      <c r="C81" s="289"/>
      <c r="D81" s="289">
        <v>51</v>
      </c>
      <c r="E81" s="289">
        <v>0</v>
      </c>
      <c r="F81" s="289">
        <v>851</v>
      </c>
      <c r="G81" s="1" t="s">
        <v>74</v>
      </c>
      <c r="H81" s="1" t="s">
        <v>4</v>
      </c>
      <c r="I81" s="289">
        <v>5118</v>
      </c>
      <c r="J81" s="1" t="s">
        <v>24</v>
      </c>
      <c r="K81" s="2">
        <f t="shared" ref="K81:O81" si="47">K82</f>
        <v>379160</v>
      </c>
      <c r="L81" s="116">
        <f t="shared" si="47"/>
        <v>0</v>
      </c>
      <c r="M81" s="2">
        <f t="shared" si="47"/>
        <v>379160</v>
      </c>
      <c r="N81" s="116">
        <f t="shared" si="47"/>
        <v>0</v>
      </c>
      <c r="O81" s="2">
        <f t="shared" si="47"/>
        <v>379160</v>
      </c>
    </row>
    <row r="82" spans="1:15" s="6" customFormat="1" ht="14.25" customHeight="1" x14ac:dyDescent="0.25">
      <c r="A82" s="17"/>
      <c r="B82" s="294" t="s">
        <v>25</v>
      </c>
      <c r="C82" s="289"/>
      <c r="D82" s="289">
        <v>51</v>
      </c>
      <c r="E82" s="289">
        <v>0</v>
      </c>
      <c r="F82" s="289">
        <v>851</v>
      </c>
      <c r="G82" s="1" t="s">
        <v>74</v>
      </c>
      <c r="H82" s="1" t="s">
        <v>4</v>
      </c>
      <c r="I82" s="289">
        <v>5118</v>
      </c>
      <c r="J82" s="1" t="s">
        <v>26</v>
      </c>
      <c r="K82" s="2">
        <f>'6 Вед15'!J61</f>
        <v>379160</v>
      </c>
      <c r="L82" s="116">
        <f>'6 Вед15'!K61</f>
        <v>0</v>
      </c>
      <c r="M82" s="2">
        <f>'6 Вед15'!L61</f>
        <v>379160</v>
      </c>
      <c r="N82" s="116">
        <f>'6 Вед15'!M61</f>
        <v>0</v>
      </c>
      <c r="O82" s="2">
        <f>'6 Вед15'!N61</f>
        <v>379160</v>
      </c>
    </row>
    <row r="83" spans="1:15" s="6" customFormat="1" ht="14.25" customHeight="1" x14ac:dyDescent="0.25">
      <c r="A83" s="17"/>
      <c r="B83" s="295" t="s">
        <v>28</v>
      </c>
      <c r="C83" s="289"/>
      <c r="D83" s="289">
        <v>51</v>
      </c>
      <c r="E83" s="289">
        <v>0</v>
      </c>
      <c r="F83" s="289">
        <v>851</v>
      </c>
      <c r="G83" s="1" t="s">
        <v>74</v>
      </c>
      <c r="H83" s="1" t="s">
        <v>4</v>
      </c>
      <c r="I83" s="289">
        <v>5118</v>
      </c>
      <c r="J83" s="1" t="s">
        <v>29</v>
      </c>
      <c r="K83" s="2">
        <f>K84</f>
        <v>49742</v>
      </c>
      <c r="L83" s="116">
        <f t="shared" ref="L83:O83" si="48">L84</f>
        <v>0</v>
      </c>
      <c r="M83" s="2">
        <f t="shared" si="48"/>
        <v>49742</v>
      </c>
      <c r="N83" s="116">
        <f t="shared" si="48"/>
        <v>-39699</v>
      </c>
      <c r="O83" s="2">
        <f t="shared" si="48"/>
        <v>10043</v>
      </c>
    </row>
    <row r="84" spans="1:15" s="6" customFormat="1" ht="24" x14ac:dyDescent="0.25">
      <c r="A84" s="17"/>
      <c r="B84" s="295" t="s">
        <v>30</v>
      </c>
      <c r="C84" s="289"/>
      <c r="D84" s="289">
        <v>51</v>
      </c>
      <c r="E84" s="289">
        <v>0</v>
      </c>
      <c r="F84" s="289">
        <v>851</v>
      </c>
      <c r="G84" s="1" t="s">
        <v>74</v>
      </c>
      <c r="H84" s="1" t="s">
        <v>4</v>
      </c>
      <c r="I84" s="289">
        <v>5118</v>
      </c>
      <c r="J84" s="1" t="s">
        <v>31</v>
      </c>
      <c r="K84" s="2">
        <f>'6 Вед15'!J63</f>
        <v>49742</v>
      </c>
      <c r="L84" s="116">
        <f>'6 Вед15'!K63</f>
        <v>0</v>
      </c>
      <c r="M84" s="2">
        <f>'6 Вед15'!L63</f>
        <v>49742</v>
      </c>
      <c r="N84" s="116">
        <f>'6 Вед15'!M63</f>
        <v>-39699</v>
      </c>
      <c r="O84" s="2">
        <f>'6 Вед15'!N63</f>
        <v>10043</v>
      </c>
    </row>
    <row r="85" spans="1:15" s="6" customFormat="1" ht="12" hidden="1" customHeight="1" x14ac:dyDescent="0.25">
      <c r="A85" s="583" t="s">
        <v>655</v>
      </c>
      <c r="B85" s="583"/>
      <c r="C85" s="295"/>
      <c r="D85" s="289">
        <v>851</v>
      </c>
      <c r="E85" s="289">
        <v>0</v>
      </c>
      <c r="F85" s="289">
        <v>851</v>
      </c>
      <c r="G85" s="1" t="s">
        <v>18</v>
      </c>
      <c r="H85" s="1" t="s">
        <v>64</v>
      </c>
      <c r="I85" s="1" t="s">
        <v>657</v>
      </c>
      <c r="J85" s="1"/>
      <c r="K85" s="2">
        <f t="shared" ref="K85:O86" si="49">K86</f>
        <v>0</v>
      </c>
      <c r="L85" s="116">
        <f t="shared" si="49"/>
        <v>0</v>
      </c>
      <c r="M85" s="2">
        <f t="shared" si="49"/>
        <v>0</v>
      </c>
      <c r="N85" s="116">
        <f t="shared" si="49"/>
        <v>0</v>
      </c>
      <c r="O85" s="2">
        <f t="shared" si="49"/>
        <v>0</v>
      </c>
    </row>
    <row r="86" spans="1:15" s="6" customFormat="1" ht="24" hidden="1" customHeight="1" x14ac:dyDescent="0.25">
      <c r="A86" s="17"/>
      <c r="B86" s="295" t="s">
        <v>28</v>
      </c>
      <c r="C86" s="294"/>
      <c r="D86" s="289">
        <v>851</v>
      </c>
      <c r="E86" s="289">
        <v>0</v>
      </c>
      <c r="F86" s="289">
        <v>851</v>
      </c>
      <c r="G86" s="1" t="s">
        <v>18</v>
      </c>
      <c r="H86" s="1" t="s">
        <v>64</v>
      </c>
      <c r="I86" s="1" t="s">
        <v>657</v>
      </c>
      <c r="J86" s="1" t="s">
        <v>29</v>
      </c>
      <c r="K86" s="2">
        <f t="shared" si="49"/>
        <v>0</v>
      </c>
      <c r="L86" s="116">
        <f t="shared" si="49"/>
        <v>0</v>
      </c>
      <c r="M86" s="2">
        <f t="shared" si="49"/>
        <v>0</v>
      </c>
      <c r="N86" s="116">
        <f t="shared" si="49"/>
        <v>0</v>
      </c>
      <c r="O86" s="2">
        <f t="shared" si="49"/>
        <v>0</v>
      </c>
    </row>
    <row r="87" spans="1:15" s="6" customFormat="1" ht="24" hidden="1" x14ac:dyDescent="0.25">
      <c r="A87" s="17"/>
      <c r="B87" s="295" t="s">
        <v>30</v>
      </c>
      <c r="C87" s="295"/>
      <c r="D87" s="289">
        <v>851</v>
      </c>
      <c r="E87" s="289">
        <v>0</v>
      </c>
      <c r="F87" s="289">
        <v>851</v>
      </c>
      <c r="G87" s="1" t="s">
        <v>18</v>
      </c>
      <c r="H87" s="1" t="s">
        <v>64</v>
      </c>
      <c r="I87" s="1" t="s">
        <v>657</v>
      </c>
      <c r="J87" s="1" t="s">
        <v>31</v>
      </c>
      <c r="K87" s="2">
        <f>'6 Вед15'!J29</f>
        <v>0</v>
      </c>
      <c r="L87" s="116">
        <f>'6 Вед15'!K29</f>
        <v>0</v>
      </c>
      <c r="M87" s="2">
        <f>'6 Вед15'!L29</f>
        <v>0</v>
      </c>
      <c r="N87" s="116">
        <f>'6 Вед15'!M29</f>
        <v>0</v>
      </c>
      <c r="O87" s="2">
        <f>'6 Вед15'!N29</f>
        <v>0</v>
      </c>
    </row>
    <row r="88" spans="1:15" s="15" customFormat="1" x14ac:dyDescent="0.25">
      <c r="A88" s="583" t="s">
        <v>585</v>
      </c>
      <c r="B88" s="583"/>
      <c r="C88" s="295"/>
      <c r="D88" s="289">
        <v>51</v>
      </c>
      <c r="E88" s="289">
        <v>0</v>
      </c>
      <c r="F88" s="289">
        <v>851</v>
      </c>
      <c r="G88" s="20" t="s">
        <v>64</v>
      </c>
      <c r="H88" s="20" t="s">
        <v>18</v>
      </c>
      <c r="I88" s="20" t="s">
        <v>587</v>
      </c>
      <c r="J88" s="1"/>
      <c r="K88" s="2">
        <f t="shared" ref="K88:O89" si="50">K89</f>
        <v>41440</v>
      </c>
      <c r="L88" s="116">
        <f t="shared" si="50"/>
        <v>0</v>
      </c>
      <c r="M88" s="2">
        <f t="shared" si="50"/>
        <v>41440</v>
      </c>
      <c r="N88" s="116">
        <f t="shared" si="50"/>
        <v>0</v>
      </c>
      <c r="O88" s="2">
        <f t="shared" si="50"/>
        <v>41440</v>
      </c>
    </row>
    <row r="89" spans="1:15" s="15" customFormat="1" ht="14.25" customHeight="1" x14ac:dyDescent="0.25">
      <c r="A89" s="295"/>
      <c r="B89" s="298" t="s">
        <v>28</v>
      </c>
      <c r="C89" s="295"/>
      <c r="D89" s="289">
        <v>51</v>
      </c>
      <c r="E89" s="289">
        <v>0</v>
      </c>
      <c r="F89" s="289">
        <v>851</v>
      </c>
      <c r="G89" s="20" t="s">
        <v>64</v>
      </c>
      <c r="H89" s="20" t="s">
        <v>18</v>
      </c>
      <c r="I89" s="20" t="s">
        <v>587</v>
      </c>
      <c r="J89" s="1" t="s">
        <v>29</v>
      </c>
      <c r="K89" s="2">
        <f t="shared" si="50"/>
        <v>41440</v>
      </c>
      <c r="L89" s="116">
        <f t="shared" si="50"/>
        <v>0</v>
      </c>
      <c r="M89" s="2">
        <f t="shared" si="50"/>
        <v>41440</v>
      </c>
      <c r="N89" s="116">
        <f t="shared" si="50"/>
        <v>0</v>
      </c>
      <c r="O89" s="2">
        <f t="shared" si="50"/>
        <v>41440</v>
      </c>
    </row>
    <row r="90" spans="1:15" s="15" customFormat="1" ht="24" x14ac:dyDescent="0.25">
      <c r="A90" s="295"/>
      <c r="B90" s="298" t="s">
        <v>30</v>
      </c>
      <c r="C90" s="295"/>
      <c r="D90" s="289">
        <v>51</v>
      </c>
      <c r="E90" s="289">
        <v>0</v>
      </c>
      <c r="F90" s="289">
        <v>851</v>
      </c>
      <c r="G90" s="20" t="s">
        <v>64</v>
      </c>
      <c r="H90" s="20" t="s">
        <v>18</v>
      </c>
      <c r="I90" s="20" t="s">
        <v>587</v>
      </c>
      <c r="J90" s="1" t="s">
        <v>31</v>
      </c>
      <c r="K90" s="2">
        <f>'6 Вед15'!J102</f>
        <v>41440</v>
      </c>
      <c r="L90" s="116">
        <f>'6 Вед15'!K102</f>
        <v>0</v>
      </c>
      <c r="M90" s="2">
        <f>K90+L90</f>
        <v>41440</v>
      </c>
      <c r="N90" s="116">
        <f>'6 Вед15'!M102</f>
        <v>0</v>
      </c>
      <c r="O90" s="2">
        <f>M90+N90</f>
        <v>41440</v>
      </c>
    </row>
    <row r="91" spans="1:15" s="6" customFormat="1" ht="24" customHeight="1" x14ac:dyDescent="0.25">
      <c r="A91" s="583" t="s">
        <v>614</v>
      </c>
      <c r="B91" s="583"/>
      <c r="C91" s="295"/>
      <c r="D91" s="289">
        <v>51</v>
      </c>
      <c r="E91" s="289">
        <v>0</v>
      </c>
      <c r="F91" s="289">
        <v>851</v>
      </c>
      <c r="G91" s="1" t="s">
        <v>7</v>
      </c>
      <c r="H91" s="1" t="s">
        <v>58</v>
      </c>
      <c r="I91" s="1" t="s">
        <v>618</v>
      </c>
      <c r="J91" s="1"/>
      <c r="K91" s="2">
        <f>K92</f>
        <v>2558000</v>
      </c>
      <c r="L91" s="116">
        <f t="shared" ref="L91:O92" si="51">L92</f>
        <v>0</v>
      </c>
      <c r="M91" s="2">
        <f t="shared" si="51"/>
        <v>2558000</v>
      </c>
      <c r="N91" s="116">
        <f t="shared" si="51"/>
        <v>0</v>
      </c>
      <c r="O91" s="2">
        <f t="shared" si="51"/>
        <v>2558000</v>
      </c>
    </row>
    <row r="92" spans="1:15" s="6" customFormat="1" ht="15" customHeight="1" x14ac:dyDescent="0.25">
      <c r="A92" s="295"/>
      <c r="B92" s="295" t="s">
        <v>28</v>
      </c>
      <c r="C92" s="295"/>
      <c r="D92" s="132">
        <v>51</v>
      </c>
      <c r="E92" s="132">
        <v>0</v>
      </c>
      <c r="F92" s="289">
        <v>851</v>
      </c>
      <c r="G92" s="1" t="s">
        <v>7</v>
      </c>
      <c r="H92" s="1" t="s">
        <v>58</v>
      </c>
      <c r="I92" s="1" t="s">
        <v>618</v>
      </c>
      <c r="J92" s="1" t="s">
        <v>29</v>
      </c>
      <c r="K92" s="2">
        <f>K93</f>
        <v>2558000</v>
      </c>
      <c r="L92" s="116">
        <f t="shared" si="51"/>
        <v>0</v>
      </c>
      <c r="M92" s="2">
        <f t="shared" si="51"/>
        <v>2558000</v>
      </c>
      <c r="N92" s="116">
        <f t="shared" si="51"/>
        <v>0</v>
      </c>
      <c r="O92" s="2">
        <f t="shared" si="51"/>
        <v>2558000</v>
      </c>
    </row>
    <row r="93" spans="1:15" s="6" customFormat="1" ht="24" x14ac:dyDescent="0.25">
      <c r="A93" s="295"/>
      <c r="B93" s="295" t="s">
        <v>30</v>
      </c>
      <c r="C93" s="295"/>
      <c r="D93" s="289">
        <v>51</v>
      </c>
      <c r="E93" s="289">
        <v>0</v>
      </c>
      <c r="F93" s="289">
        <v>851</v>
      </c>
      <c r="G93" s="1" t="s">
        <v>7</v>
      </c>
      <c r="H93" s="1" t="s">
        <v>58</v>
      </c>
      <c r="I93" s="1" t="s">
        <v>618</v>
      </c>
      <c r="J93" s="1" t="s">
        <v>31</v>
      </c>
      <c r="K93" s="2">
        <f>'6 Вед15'!J88</f>
        <v>2558000</v>
      </c>
      <c r="L93" s="116">
        <f>'6 Вед15'!K88</f>
        <v>0</v>
      </c>
      <c r="M93" s="2">
        <f>'6 Вед15'!L88</f>
        <v>2558000</v>
      </c>
      <c r="N93" s="116">
        <f>'6 Вед15'!M88</f>
        <v>0</v>
      </c>
      <c r="O93" s="2">
        <f>'6 Вед15'!N88</f>
        <v>2558000</v>
      </c>
    </row>
    <row r="94" spans="1:15" s="6" customFormat="1" ht="12" hidden="1" customHeight="1" x14ac:dyDescent="0.25">
      <c r="A94" s="583" t="s">
        <v>784</v>
      </c>
      <c r="B94" s="583"/>
      <c r="C94" s="398"/>
      <c r="D94" s="289">
        <v>51</v>
      </c>
      <c r="E94" s="289">
        <v>0</v>
      </c>
      <c r="F94" s="289">
        <v>851</v>
      </c>
      <c r="G94" s="1"/>
      <c r="H94" s="1"/>
      <c r="I94" s="1" t="s">
        <v>786</v>
      </c>
      <c r="J94" s="1"/>
      <c r="K94" s="2">
        <f>K95</f>
        <v>0</v>
      </c>
      <c r="L94" s="2">
        <f t="shared" ref="L94:O94" si="52">L95</f>
        <v>0</v>
      </c>
      <c r="M94" s="2">
        <f t="shared" si="52"/>
        <v>0</v>
      </c>
      <c r="N94" s="2">
        <f t="shared" si="52"/>
        <v>0</v>
      </c>
      <c r="O94" s="2">
        <f t="shared" si="52"/>
        <v>0</v>
      </c>
    </row>
    <row r="95" spans="1:15" s="6" customFormat="1" hidden="1" x14ac:dyDescent="0.25">
      <c r="A95" s="384"/>
      <c r="B95" s="383" t="s">
        <v>158</v>
      </c>
      <c r="C95" s="384"/>
      <c r="D95" s="132">
        <v>51</v>
      </c>
      <c r="E95" s="132">
        <v>0</v>
      </c>
      <c r="F95" s="289">
        <v>851</v>
      </c>
      <c r="G95" s="1" t="s">
        <v>7</v>
      </c>
      <c r="H95" s="1" t="s">
        <v>58</v>
      </c>
      <c r="I95" s="1" t="s">
        <v>786</v>
      </c>
      <c r="J95" s="1" t="s">
        <v>159</v>
      </c>
      <c r="K95" s="2">
        <f>K96</f>
        <v>0</v>
      </c>
      <c r="L95" s="2">
        <f t="shared" ref="L95:O95" si="53">L96</f>
        <v>0</v>
      </c>
      <c r="M95" s="2">
        <f t="shared" si="53"/>
        <v>0</v>
      </c>
      <c r="N95" s="2">
        <f t="shared" si="53"/>
        <v>0</v>
      </c>
      <c r="O95" s="2">
        <f t="shared" si="53"/>
        <v>0</v>
      </c>
    </row>
    <row r="96" spans="1:15" s="6" customFormat="1" hidden="1" x14ac:dyDescent="0.25">
      <c r="A96" s="384"/>
      <c r="B96" s="384" t="s">
        <v>171</v>
      </c>
      <c r="C96" s="384"/>
      <c r="D96" s="289">
        <v>51</v>
      </c>
      <c r="E96" s="289">
        <v>0</v>
      </c>
      <c r="F96" s="289">
        <v>851</v>
      </c>
      <c r="G96" s="1" t="s">
        <v>7</v>
      </c>
      <c r="H96" s="1" t="s">
        <v>58</v>
      </c>
      <c r="I96" s="1" t="s">
        <v>786</v>
      </c>
      <c r="J96" s="1" t="s">
        <v>172</v>
      </c>
      <c r="K96" s="2"/>
      <c r="L96" s="116">
        <f>'6 Вед15'!K289</f>
        <v>0</v>
      </c>
      <c r="M96" s="2">
        <f>K96+L96</f>
        <v>0</v>
      </c>
      <c r="N96" s="116">
        <f>'6 Вед15'!M289</f>
        <v>0</v>
      </c>
      <c r="O96" s="2">
        <f>M96+N96</f>
        <v>0</v>
      </c>
    </row>
    <row r="97" spans="1:15" s="15" customFormat="1" ht="24" customHeight="1" x14ac:dyDescent="0.25">
      <c r="A97" s="589" t="s">
        <v>660</v>
      </c>
      <c r="B97" s="589"/>
      <c r="C97" s="295"/>
      <c r="D97" s="99">
        <v>51</v>
      </c>
      <c r="E97" s="99">
        <v>1</v>
      </c>
      <c r="F97" s="18"/>
      <c r="G97" s="12"/>
      <c r="H97" s="12"/>
      <c r="I97" s="12"/>
      <c r="J97" s="12"/>
      <c r="K97" s="14">
        <f>K98</f>
        <v>55000</v>
      </c>
      <c r="L97" s="276">
        <f t="shared" ref="L97:O97" si="54">L98</f>
        <v>1300000</v>
      </c>
      <c r="M97" s="14">
        <f t="shared" si="54"/>
        <v>1355000</v>
      </c>
      <c r="N97" s="276">
        <f t="shared" si="54"/>
        <v>0</v>
      </c>
      <c r="O97" s="14">
        <f t="shared" si="54"/>
        <v>1355000</v>
      </c>
    </row>
    <row r="98" spans="1:15" s="15" customFormat="1" ht="14.25" customHeight="1" x14ac:dyDescent="0.25">
      <c r="A98" s="589" t="s">
        <v>16</v>
      </c>
      <c r="B98" s="589"/>
      <c r="C98" s="295"/>
      <c r="D98" s="99">
        <v>51</v>
      </c>
      <c r="E98" s="99">
        <v>1</v>
      </c>
      <c r="F98" s="18">
        <v>851</v>
      </c>
      <c r="G98" s="12"/>
      <c r="H98" s="12"/>
      <c r="I98" s="12"/>
      <c r="J98" s="12"/>
      <c r="K98" s="14">
        <f>K99+K102</f>
        <v>55000</v>
      </c>
      <c r="L98" s="14">
        <f t="shared" ref="L98:M98" si="55">L99+L102</f>
        <v>1300000</v>
      </c>
      <c r="M98" s="14">
        <f t="shared" si="55"/>
        <v>1355000</v>
      </c>
      <c r="N98" s="14">
        <f t="shared" ref="N98:O98" si="56">N99+N102</f>
        <v>0</v>
      </c>
      <c r="O98" s="14">
        <f t="shared" si="56"/>
        <v>1355000</v>
      </c>
    </row>
    <row r="99" spans="1:15" s="6" customFormat="1" ht="27" customHeight="1" x14ac:dyDescent="0.25">
      <c r="A99" s="583" t="s">
        <v>65</v>
      </c>
      <c r="B99" s="583"/>
      <c r="C99" s="295"/>
      <c r="D99" s="289">
        <v>51</v>
      </c>
      <c r="E99" s="289">
        <v>1</v>
      </c>
      <c r="F99" s="289">
        <v>851</v>
      </c>
      <c r="G99" s="1" t="s">
        <v>7</v>
      </c>
      <c r="H99" s="1" t="s">
        <v>64</v>
      </c>
      <c r="I99" s="1" t="s">
        <v>340</v>
      </c>
      <c r="J99" s="1"/>
      <c r="K99" s="2">
        <f t="shared" ref="K99:O100" si="57">K100</f>
        <v>55000</v>
      </c>
      <c r="L99" s="116">
        <f t="shared" si="57"/>
        <v>0</v>
      </c>
      <c r="M99" s="2">
        <f t="shared" si="57"/>
        <v>55000</v>
      </c>
      <c r="N99" s="116">
        <f t="shared" si="57"/>
        <v>0</v>
      </c>
      <c r="O99" s="2">
        <f t="shared" si="57"/>
        <v>55000</v>
      </c>
    </row>
    <row r="100" spans="1:15" s="6" customFormat="1" ht="15" customHeight="1" x14ac:dyDescent="0.25">
      <c r="A100" s="21"/>
      <c r="B100" s="298" t="s">
        <v>28</v>
      </c>
      <c r="C100" s="294"/>
      <c r="D100" s="289">
        <v>51</v>
      </c>
      <c r="E100" s="289">
        <v>1</v>
      </c>
      <c r="F100" s="289">
        <v>851</v>
      </c>
      <c r="G100" s="1" t="s">
        <v>7</v>
      </c>
      <c r="H100" s="1" t="s">
        <v>64</v>
      </c>
      <c r="I100" s="1" t="s">
        <v>340</v>
      </c>
      <c r="J100" s="1" t="s">
        <v>29</v>
      </c>
      <c r="K100" s="2">
        <f t="shared" si="57"/>
        <v>55000</v>
      </c>
      <c r="L100" s="116">
        <f t="shared" si="57"/>
        <v>0</v>
      </c>
      <c r="M100" s="2">
        <f t="shared" si="57"/>
        <v>55000</v>
      </c>
      <c r="N100" s="116">
        <f t="shared" si="57"/>
        <v>0</v>
      </c>
      <c r="O100" s="2">
        <f t="shared" si="57"/>
        <v>55000</v>
      </c>
    </row>
    <row r="101" spans="1:15" s="6" customFormat="1" ht="25.5" customHeight="1" x14ac:dyDescent="0.25">
      <c r="A101" s="21"/>
      <c r="B101" s="298" t="s">
        <v>30</v>
      </c>
      <c r="C101" s="295"/>
      <c r="D101" s="289">
        <v>51</v>
      </c>
      <c r="E101" s="289">
        <v>1</v>
      </c>
      <c r="F101" s="289">
        <v>851</v>
      </c>
      <c r="G101" s="1" t="s">
        <v>7</v>
      </c>
      <c r="H101" s="1" t="s">
        <v>64</v>
      </c>
      <c r="I101" s="1" t="s">
        <v>340</v>
      </c>
      <c r="J101" s="1" t="s">
        <v>31</v>
      </c>
      <c r="K101" s="2">
        <f>'6 Вед15'!J81</f>
        <v>55000</v>
      </c>
      <c r="L101" s="116">
        <f>'6 Вед15'!K81</f>
        <v>0</v>
      </c>
      <c r="M101" s="2">
        <f>'6 Вед15'!L81</f>
        <v>55000</v>
      </c>
      <c r="N101" s="116">
        <f>'6 Вед15'!M81</f>
        <v>0</v>
      </c>
      <c r="O101" s="2">
        <f>'6 Вед15'!N81</f>
        <v>55000</v>
      </c>
    </row>
    <row r="102" spans="1:15" s="6" customFormat="1" ht="25.5" customHeight="1" x14ac:dyDescent="0.25">
      <c r="A102" s="576" t="s">
        <v>749</v>
      </c>
      <c r="B102" s="576"/>
      <c r="C102" s="384"/>
      <c r="D102" s="289">
        <v>51</v>
      </c>
      <c r="E102" s="289">
        <v>1</v>
      </c>
      <c r="F102" s="289">
        <v>851</v>
      </c>
      <c r="G102" s="1"/>
      <c r="H102" s="1"/>
      <c r="I102" s="1" t="s">
        <v>781</v>
      </c>
      <c r="J102" s="1"/>
      <c r="K102" s="2">
        <f>K103</f>
        <v>0</v>
      </c>
      <c r="L102" s="2">
        <f t="shared" ref="L102:O103" si="58">L103</f>
        <v>1300000</v>
      </c>
      <c r="M102" s="2">
        <f t="shared" si="58"/>
        <v>1300000</v>
      </c>
      <c r="N102" s="2">
        <f t="shared" si="58"/>
        <v>0</v>
      </c>
      <c r="O102" s="2">
        <f t="shared" si="58"/>
        <v>1300000</v>
      </c>
    </row>
    <row r="103" spans="1:15" s="6" customFormat="1" ht="15.75" customHeight="1" x14ac:dyDescent="0.25">
      <c r="A103" s="384"/>
      <c r="B103" s="384" t="s">
        <v>32</v>
      </c>
      <c r="C103" s="384"/>
      <c r="D103" s="289">
        <v>51</v>
      </c>
      <c r="E103" s="289">
        <v>1</v>
      </c>
      <c r="F103" s="289">
        <v>851</v>
      </c>
      <c r="G103" s="1"/>
      <c r="H103" s="1"/>
      <c r="I103" s="1" t="s">
        <v>781</v>
      </c>
      <c r="J103" s="1" t="s">
        <v>33</v>
      </c>
      <c r="K103" s="2">
        <f>K104</f>
        <v>0</v>
      </c>
      <c r="L103" s="2">
        <f t="shared" si="58"/>
        <v>1300000</v>
      </c>
      <c r="M103" s="2">
        <f t="shared" si="58"/>
        <v>1300000</v>
      </c>
      <c r="N103" s="2">
        <f t="shared" si="58"/>
        <v>0</v>
      </c>
      <c r="O103" s="2">
        <f t="shared" si="58"/>
        <v>1300000</v>
      </c>
    </row>
    <row r="104" spans="1:15" s="6" customFormat="1" ht="25.5" customHeight="1" x14ac:dyDescent="0.25">
      <c r="A104" s="384"/>
      <c r="B104" s="384" t="s">
        <v>376</v>
      </c>
      <c r="C104" s="384"/>
      <c r="D104" s="289">
        <v>51</v>
      </c>
      <c r="E104" s="289">
        <v>1</v>
      </c>
      <c r="F104" s="289">
        <v>851</v>
      </c>
      <c r="G104" s="1"/>
      <c r="H104" s="1"/>
      <c r="I104" s="1" t="s">
        <v>781</v>
      </c>
      <c r="J104" s="1" t="s">
        <v>67</v>
      </c>
      <c r="K104" s="2"/>
      <c r="L104" s="116">
        <f>'6 Вед15'!K84</f>
        <v>1300000</v>
      </c>
      <c r="M104" s="2">
        <f>K104+L104</f>
        <v>1300000</v>
      </c>
      <c r="N104" s="116">
        <f>'6 Вед15'!M84</f>
        <v>0</v>
      </c>
      <c r="O104" s="2">
        <f>M104+N104</f>
        <v>1300000</v>
      </c>
    </row>
    <row r="105" spans="1:15" s="15" customFormat="1" x14ac:dyDescent="0.25">
      <c r="A105" s="589" t="s">
        <v>661</v>
      </c>
      <c r="B105" s="589"/>
      <c r="C105" s="297"/>
      <c r="D105" s="18">
        <v>51</v>
      </c>
      <c r="E105" s="18">
        <v>2</v>
      </c>
      <c r="F105" s="18"/>
      <c r="G105" s="12"/>
      <c r="H105" s="22"/>
      <c r="I105" s="22"/>
      <c r="J105" s="12"/>
      <c r="K105" s="14">
        <f>K106</f>
        <v>14856640</v>
      </c>
      <c r="L105" s="276">
        <f t="shared" ref="L105:O105" si="59">L106</f>
        <v>605000</v>
      </c>
      <c r="M105" s="14">
        <f t="shared" si="59"/>
        <v>15461640</v>
      </c>
      <c r="N105" s="276">
        <f t="shared" si="59"/>
        <v>0</v>
      </c>
      <c r="O105" s="14">
        <f t="shared" si="59"/>
        <v>15461640</v>
      </c>
    </row>
    <row r="106" spans="1:15" s="15" customFormat="1" x14ac:dyDescent="0.25">
      <c r="A106" s="589" t="s">
        <v>16</v>
      </c>
      <c r="B106" s="589"/>
      <c r="C106" s="297"/>
      <c r="D106" s="18">
        <v>51</v>
      </c>
      <c r="E106" s="18">
        <v>2</v>
      </c>
      <c r="F106" s="18">
        <v>851</v>
      </c>
      <c r="G106" s="12"/>
      <c r="H106" s="22"/>
      <c r="I106" s="22"/>
      <c r="J106" s="12"/>
      <c r="K106" s="14">
        <f>K107+K110+K113+K116+K119+K122+K125+K128</f>
        <v>14856640</v>
      </c>
      <c r="L106" s="14">
        <f t="shared" ref="L106:M106" si="60">L107+L110+L113+L116+L119+L122+L125+L128</f>
        <v>605000</v>
      </c>
      <c r="M106" s="14">
        <f t="shared" si="60"/>
        <v>15461640</v>
      </c>
      <c r="N106" s="14">
        <f t="shared" ref="N106:O106" si="61">N107+N110+N113+N116+N119+N122+N125+N128</f>
        <v>0</v>
      </c>
      <c r="O106" s="14">
        <f t="shared" si="61"/>
        <v>15461640</v>
      </c>
    </row>
    <row r="107" spans="1:15" s="6" customFormat="1" x14ac:dyDescent="0.25">
      <c r="A107" s="583" t="s">
        <v>93</v>
      </c>
      <c r="B107" s="583"/>
      <c r="C107" s="295"/>
      <c r="D107" s="289">
        <v>51</v>
      </c>
      <c r="E107" s="289">
        <v>2</v>
      </c>
      <c r="F107" s="289">
        <v>851</v>
      </c>
      <c r="G107" s="245" t="s">
        <v>86</v>
      </c>
      <c r="H107" s="245" t="s">
        <v>18</v>
      </c>
      <c r="I107" s="1" t="s">
        <v>345</v>
      </c>
      <c r="J107" s="1"/>
      <c r="K107" s="2">
        <f t="shared" ref="K107:O108" si="62">K108</f>
        <v>2580900</v>
      </c>
      <c r="L107" s="116">
        <f t="shared" si="62"/>
        <v>0</v>
      </c>
      <c r="M107" s="2">
        <f t="shared" si="62"/>
        <v>2580900</v>
      </c>
      <c r="N107" s="116">
        <f t="shared" si="62"/>
        <v>0</v>
      </c>
      <c r="O107" s="2">
        <f t="shared" si="62"/>
        <v>2580900</v>
      </c>
    </row>
    <row r="108" spans="1:15" s="6" customFormat="1" ht="24" x14ac:dyDescent="0.25">
      <c r="A108" s="297"/>
      <c r="B108" s="298" t="s">
        <v>95</v>
      </c>
      <c r="C108" s="297"/>
      <c r="D108" s="289">
        <v>51</v>
      </c>
      <c r="E108" s="289">
        <v>2</v>
      </c>
      <c r="F108" s="289">
        <v>851</v>
      </c>
      <c r="G108" s="1" t="s">
        <v>86</v>
      </c>
      <c r="H108" s="1" t="s">
        <v>18</v>
      </c>
      <c r="I108" s="1" t="s">
        <v>345</v>
      </c>
      <c r="J108" s="1" t="s">
        <v>90</v>
      </c>
      <c r="K108" s="2">
        <f t="shared" si="62"/>
        <v>2580900</v>
      </c>
      <c r="L108" s="116">
        <f t="shared" si="62"/>
        <v>0</v>
      </c>
      <c r="M108" s="2">
        <f t="shared" si="62"/>
        <v>2580900</v>
      </c>
      <c r="N108" s="116">
        <f t="shared" si="62"/>
        <v>0</v>
      </c>
      <c r="O108" s="2">
        <f t="shared" si="62"/>
        <v>2580900</v>
      </c>
    </row>
    <row r="109" spans="1:15" s="6" customFormat="1" ht="48" x14ac:dyDescent="0.25">
      <c r="A109" s="297"/>
      <c r="B109" s="298" t="s">
        <v>91</v>
      </c>
      <c r="C109" s="297"/>
      <c r="D109" s="289">
        <v>51</v>
      </c>
      <c r="E109" s="289">
        <v>2</v>
      </c>
      <c r="F109" s="289">
        <v>851</v>
      </c>
      <c r="G109" s="1" t="s">
        <v>86</v>
      </c>
      <c r="H109" s="1" t="s">
        <v>18</v>
      </c>
      <c r="I109" s="1" t="s">
        <v>345</v>
      </c>
      <c r="J109" s="1" t="s">
        <v>92</v>
      </c>
      <c r="K109" s="2">
        <f>'6 Вед15'!J130</f>
        <v>2580900</v>
      </c>
      <c r="L109" s="116">
        <f>'6 Вед15'!K130</f>
        <v>0</v>
      </c>
      <c r="M109" s="2">
        <f>'6 Вед15'!L130</f>
        <v>2580900</v>
      </c>
      <c r="N109" s="116">
        <f>'6 Вед15'!M130</f>
        <v>0</v>
      </c>
      <c r="O109" s="2">
        <f>'6 Вед15'!N130</f>
        <v>2580900</v>
      </c>
    </row>
    <row r="110" spans="1:15" s="6" customFormat="1" ht="12" customHeight="1" x14ac:dyDescent="0.25">
      <c r="A110" s="583" t="s">
        <v>606</v>
      </c>
      <c r="B110" s="583"/>
      <c r="C110" s="295"/>
      <c r="D110" s="289">
        <v>51</v>
      </c>
      <c r="E110" s="289">
        <v>2</v>
      </c>
      <c r="F110" s="289">
        <v>851</v>
      </c>
      <c r="G110" s="1" t="s">
        <v>86</v>
      </c>
      <c r="H110" s="1" t="s">
        <v>18</v>
      </c>
      <c r="I110" s="74">
        <v>1055</v>
      </c>
      <c r="J110" s="1"/>
      <c r="K110" s="2">
        <f t="shared" ref="K110:O111" si="63">K111</f>
        <v>157900</v>
      </c>
      <c r="L110" s="116">
        <f t="shared" si="63"/>
        <v>0</v>
      </c>
      <c r="M110" s="2">
        <f t="shared" si="63"/>
        <v>157900</v>
      </c>
      <c r="N110" s="116">
        <f t="shared" si="63"/>
        <v>0</v>
      </c>
      <c r="O110" s="2">
        <f t="shared" si="63"/>
        <v>157900</v>
      </c>
    </row>
    <row r="111" spans="1:15" s="6" customFormat="1" ht="24" x14ac:dyDescent="0.25">
      <c r="A111" s="295"/>
      <c r="B111" s="307" t="s">
        <v>95</v>
      </c>
      <c r="C111" s="295"/>
      <c r="D111" s="289">
        <v>51</v>
      </c>
      <c r="E111" s="289">
        <v>2</v>
      </c>
      <c r="F111" s="289">
        <v>851</v>
      </c>
      <c r="G111" s="1" t="s">
        <v>86</v>
      </c>
      <c r="H111" s="1" t="s">
        <v>18</v>
      </c>
      <c r="I111" s="74">
        <v>1055</v>
      </c>
      <c r="J111" s="17">
        <v>600</v>
      </c>
      <c r="K111" s="2">
        <f t="shared" si="63"/>
        <v>157900</v>
      </c>
      <c r="L111" s="116">
        <f t="shared" si="63"/>
        <v>0</v>
      </c>
      <c r="M111" s="2">
        <f t="shared" si="63"/>
        <v>157900</v>
      </c>
      <c r="N111" s="116">
        <f t="shared" si="63"/>
        <v>0</v>
      </c>
      <c r="O111" s="2">
        <f t="shared" si="63"/>
        <v>157900</v>
      </c>
    </row>
    <row r="112" spans="1:15" s="6" customFormat="1" ht="48" x14ac:dyDescent="0.25">
      <c r="A112" s="295"/>
      <c r="B112" s="295" t="s">
        <v>91</v>
      </c>
      <c r="C112" s="295"/>
      <c r="D112" s="289">
        <v>51</v>
      </c>
      <c r="E112" s="289">
        <v>2</v>
      </c>
      <c r="F112" s="289">
        <v>851</v>
      </c>
      <c r="G112" s="1" t="s">
        <v>86</v>
      </c>
      <c r="H112" s="1" t="s">
        <v>18</v>
      </c>
      <c r="I112" s="74">
        <v>1055</v>
      </c>
      <c r="J112" s="17">
        <v>611</v>
      </c>
      <c r="K112" s="2">
        <f>'6 Вед15'!J133</f>
        <v>157900</v>
      </c>
      <c r="L112" s="116">
        <f>'6 Вед15'!K133</f>
        <v>0</v>
      </c>
      <c r="M112" s="2">
        <f>'6 Вед15'!L133</f>
        <v>157900</v>
      </c>
      <c r="N112" s="116">
        <f>'6 Вед15'!M133</f>
        <v>0</v>
      </c>
      <c r="O112" s="2">
        <f>'6 Вед15'!N133</f>
        <v>157900</v>
      </c>
    </row>
    <row r="113" spans="1:15" s="6" customFormat="1" ht="38.25" customHeight="1" x14ac:dyDescent="0.25">
      <c r="A113" s="583" t="s">
        <v>608</v>
      </c>
      <c r="B113" s="583"/>
      <c r="C113" s="295"/>
      <c r="D113" s="289">
        <v>51</v>
      </c>
      <c r="E113" s="289">
        <v>2</v>
      </c>
      <c r="F113" s="289">
        <v>851</v>
      </c>
      <c r="G113" s="1" t="s">
        <v>86</v>
      </c>
      <c r="H113" s="1" t="s">
        <v>18</v>
      </c>
      <c r="I113" s="74">
        <v>1057</v>
      </c>
      <c r="J113" s="17"/>
      <c r="K113" s="2">
        <f>K114</f>
        <v>8947680</v>
      </c>
      <c r="L113" s="116">
        <f t="shared" ref="L113:O114" si="64">L114</f>
        <v>0</v>
      </c>
      <c r="M113" s="2">
        <f t="shared" si="64"/>
        <v>8947680</v>
      </c>
      <c r="N113" s="116">
        <f t="shared" si="64"/>
        <v>0</v>
      </c>
      <c r="O113" s="2">
        <f t="shared" si="64"/>
        <v>8947680</v>
      </c>
    </row>
    <row r="114" spans="1:15" s="6" customFormat="1" ht="24" x14ac:dyDescent="0.25">
      <c r="A114" s="295"/>
      <c r="B114" s="307" t="s">
        <v>95</v>
      </c>
      <c r="C114" s="295"/>
      <c r="D114" s="289">
        <v>51</v>
      </c>
      <c r="E114" s="289">
        <v>2</v>
      </c>
      <c r="F114" s="289">
        <v>851</v>
      </c>
      <c r="G114" s="1" t="s">
        <v>86</v>
      </c>
      <c r="H114" s="1" t="s">
        <v>18</v>
      </c>
      <c r="I114" s="74">
        <v>1057</v>
      </c>
      <c r="J114" s="17">
        <v>600</v>
      </c>
      <c r="K114" s="2">
        <f>K115</f>
        <v>8947680</v>
      </c>
      <c r="L114" s="116">
        <f t="shared" si="64"/>
        <v>0</v>
      </c>
      <c r="M114" s="2">
        <f t="shared" si="64"/>
        <v>8947680</v>
      </c>
      <c r="N114" s="116">
        <f t="shared" si="64"/>
        <v>0</v>
      </c>
      <c r="O114" s="2">
        <f t="shared" si="64"/>
        <v>8947680</v>
      </c>
    </row>
    <row r="115" spans="1:15" s="6" customFormat="1" ht="48" x14ac:dyDescent="0.25">
      <c r="A115" s="295"/>
      <c r="B115" s="295" t="s">
        <v>91</v>
      </c>
      <c r="C115" s="295"/>
      <c r="D115" s="289">
        <v>51</v>
      </c>
      <c r="E115" s="289">
        <v>2</v>
      </c>
      <c r="F115" s="289">
        <v>851</v>
      </c>
      <c r="G115" s="1" t="s">
        <v>86</v>
      </c>
      <c r="H115" s="1" t="s">
        <v>18</v>
      </c>
      <c r="I115" s="74">
        <v>1057</v>
      </c>
      <c r="J115" s="17">
        <v>611</v>
      </c>
      <c r="K115" s="2">
        <f>'6 Вед15'!J136</f>
        <v>8947680</v>
      </c>
      <c r="L115" s="116">
        <f>'6 Вед15'!K136</f>
        <v>0</v>
      </c>
      <c r="M115" s="2">
        <f>'6 Вед15'!L136</f>
        <v>8947680</v>
      </c>
      <c r="N115" s="116">
        <f>'6 Вед15'!M136</f>
        <v>0</v>
      </c>
      <c r="O115" s="2">
        <f>'6 Вед15'!N136</f>
        <v>8947680</v>
      </c>
    </row>
    <row r="116" spans="1:15" s="6" customFormat="1" ht="38.25" customHeight="1" x14ac:dyDescent="0.25">
      <c r="A116" s="583" t="s">
        <v>609</v>
      </c>
      <c r="B116" s="583"/>
      <c r="C116" s="295"/>
      <c r="D116" s="289">
        <v>51</v>
      </c>
      <c r="E116" s="289">
        <v>2</v>
      </c>
      <c r="F116" s="289">
        <v>851</v>
      </c>
      <c r="G116" s="1" t="s">
        <v>86</v>
      </c>
      <c r="H116" s="1" t="s">
        <v>18</v>
      </c>
      <c r="I116" s="74">
        <v>1058</v>
      </c>
      <c r="J116" s="17"/>
      <c r="K116" s="2">
        <f>K117</f>
        <v>2860620</v>
      </c>
      <c r="L116" s="116">
        <f t="shared" ref="L116:O117" si="65">L117</f>
        <v>0</v>
      </c>
      <c r="M116" s="2">
        <f t="shared" si="65"/>
        <v>2860620</v>
      </c>
      <c r="N116" s="116">
        <f t="shared" si="65"/>
        <v>0</v>
      </c>
      <c r="O116" s="2">
        <f t="shared" si="65"/>
        <v>2860620</v>
      </c>
    </row>
    <row r="117" spans="1:15" s="6" customFormat="1" ht="24" x14ac:dyDescent="0.25">
      <c r="A117" s="295"/>
      <c r="B117" s="307" t="s">
        <v>95</v>
      </c>
      <c r="C117" s="295"/>
      <c r="D117" s="289">
        <v>51</v>
      </c>
      <c r="E117" s="289">
        <v>2</v>
      </c>
      <c r="F117" s="289">
        <v>851</v>
      </c>
      <c r="G117" s="1" t="s">
        <v>86</v>
      </c>
      <c r="H117" s="1" t="s">
        <v>18</v>
      </c>
      <c r="I117" s="74">
        <v>1058</v>
      </c>
      <c r="J117" s="17">
        <v>600</v>
      </c>
      <c r="K117" s="2">
        <f>K118</f>
        <v>2860620</v>
      </c>
      <c r="L117" s="116">
        <f t="shared" si="65"/>
        <v>0</v>
      </c>
      <c r="M117" s="2">
        <f t="shared" si="65"/>
        <v>2860620</v>
      </c>
      <c r="N117" s="116">
        <f t="shared" si="65"/>
        <v>0</v>
      </c>
      <c r="O117" s="2">
        <f t="shared" si="65"/>
        <v>2860620</v>
      </c>
    </row>
    <row r="118" spans="1:15" s="6" customFormat="1" ht="48" x14ac:dyDescent="0.25">
      <c r="A118" s="295"/>
      <c r="B118" s="295" t="s">
        <v>91</v>
      </c>
      <c r="C118" s="295"/>
      <c r="D118" s="289">
        <v>51</v>
      </c>
      <c r="E118" s="289">
        <v>2</v>
      </c>
      <c r="F118" s="289">
        <v>851</v>
      </c>
      <c r="G118" s="1" t="s">
        <v>86</v>
      </c>
      <c r="H118" s="1" t="s">
        <v>18</v>
      </c>
      <c r="I118" s="74">
        <v>1058</v>
      </c>
      <c r="J118" s="17">
        <v>611</v>
      </c>
      <c r="K118" s="2">
        <f>'6 Вед15'!J139</f>
        <v>2860620</v>
      </c>
      <c r="L118" s="116">
        <f>'6 Вед15'!K139</f>
        <v>0</v>
      </c>
      <c r="M118" s="2">
        <f>'6 Вед15'!L139</f>
        <v>2860620</v>
      </c>
      <c r="N118" s="116">
        <f>'6 Вед15'!M139</f>
        <v>0</v>
      </c>
      <c r="O118" s="2">
        <f>'6 Вед15'!N139</f>
        <v>2860620</v>
      </c>
    </row>
    <row r="119" spans="1:15" s="6" customFormat="1" ht="36.75" customHeight="1" x14ac:dyDescent="0.25">
      <c r="A119" s="583" t="s">
        <v>88</v>
      </c>
      <c r="B119" s="583"/>
      <c r="C119" s="295"/>
      <c r="D119" s="289">
        <v>51</v>
      </c>
      <c r="E119" s="289">
        <v>2</v>
      </c>
      <c r="F119" s="289">
        <v>851</v>
      </c>
      <c r="G119" s="1" t="s">
        <v>86</v>
      </c>
      <c r="H119" s="1" t="s">
        <v>18</v>
      </c>
      <c r="I119" s="74">
        <v>1421</v>
      </c>
      <c r="J119" s="1"/>
      <c r="K119" s="2">
        <f t="shared" ref="K119:O120" si="66">K120</f>
        <v>9540</v>
      </c>
      <c r="L119" s="116">
        <f t="shared" si="66"/>
        <v>0</v>
      </c>
      <c r="M119" s="2">
        <f t="shared" si="66"/>
        <v>9540</v>
      </c>
      <c r="N119" s="116">
        <f t="shared" si="66"/>
        <v>0</v>
      </c>
      <c r="O119" s="2">
        <f t="shared" si="66"/>
        <v>9540</v>
      </c>
    </row>
    <row r="120" spans="1:15" s="6" customFormat="1" ht="24" customHeight="1" x14ac:dyDescent="0.25">
      <c r="A120" s="295"/>
      <c r="B120" s="307" t="s">
        <v>95</v>
      </c>
      <c r="C120" s="295"/>
      <c r="D120" s="289">
        <v>51</v>
      </c>
      <c r="E120" s="289">
        <v>2</v>
      </c>
      <c r="F120" s="289">
        <v>851</v>
      </c>
      <c r="G120" s="1" t="s">
        <v>86</v>
      </c>
      <c r="H120" s="1" t="s">
        <v>18</v>
      </c>
      <c r="I120" s="74">
        <v>1421</v>
      </c>
      <c r="J120" s="1" t="s">
        <v>90</v>
      </c>
      <c r="K120" s="2">
        <f t="shared" si="66"/>
        <v>9540</v>
      </c>
      <c r="L120" s="116">
        <f t="shared" si="66"/>
        <v>0</v>
      </c>
      <c r="M120" s="2">
        <f t="shared" si="66"/>
        <v>9540</v>
      </c>
      <c r="N120" s="116">
        <f t="shared" si="66"/>
        <v>0</v>
      </c>
      <c r="O120" s="2">
        <f t="shared" si="66"/>
        <v>9540</v>
      </c>
    </row>
    <row r="121" spans="1:15" s="6" customFormat="1" ht="48" x14ac:dyDescent="0.25">
      <c r="A121" s="295"/>
      <c r="B121" s="295" t="s">
        <v>91</v>
      </c>
      <c r="C121" s="295"/>
      <c r="D121" s="289">
        <v>51</v>
      </c>
      <c r="E121" s="289">
        <v>2</v>
      </c>
      <c r="F121" s="289">
        <v>851</v>
      </c>
      <c r="G121" s="1" t="s">
        <v>86</v>
      </c>
      <c r="H121" s="1" t="s">
        <v>18</v>
      </c>
      <c r="I121" s="74">
        <v>1421</v>
      </c>
      <c r="J121" s="1" t="s">
        <v>92</v>
      </c>
      <c r="K121" s="2">
        <f>'6 Вед15'!J142</f>
        <v>9540</v>
      </c>
      <c r="L121" s="116">
        <f>'6 Вед15'!K142</f>
        <v>0</v>
      </c>
      <c r="M121" s="2">
        <f>'6 Вед15'!L142</f>
        <v>9540</v>
      </c>
      <c r="N121" s="116">
        <f>'6 Вед15'!M142</f>
        <v>0</v>
      </c>
      <c r="O121" s="2">
        <f>'6 Вед15'!N142</f>
        <v>9540</v>
      </c>
    </row>
    <row r="122" spans="1:15" s="6" customFormat="1" ht="27" customHeight="1" x14ac:dyDescent="0.25">
      <c r="A122" s="583" t="s">
        <v>98</v>
      </c>
      <c r="B122" s="583"/>
      <c r="C122" s="295"/>
      <c r="D122" s="289">
        <v>51</v>
      </c>
      <c r="E122" s="289">
        <v>2</v>
      </c>
      <c r="F122" s="289">
        <v>851</v>
      </c>
      <c r="G122" s="1" t="s">
        <v>86</v>
      </c>
      <c r="H122" s="1" t="s">
        <v>18</v>
      </c>
      <c r="I122" s="1" t="s">
        <v>346</v>
      </c>
      <c r="J122" s="1"/>
      <c r="K122" s="2">
        <f t="shared" ref="K122:O123" si="67">K123</f>
        <v>100000</v>
      </c>
      <c r="L122" s="116">
        <f t="shared" si="67"/>
        <v>0</v>
      </c>
      <c r="M122" s="2">
        <f t="shared" si="67"/>
        <v>100000</v>
      </c>
      <c r="N122" s="116">
        <f t="shared" si="67"/>
        <v>0</v>
      </c>
      <c r="O122" s="2">
        <f t="shared" si="67"/>
        <v>100000</v>
      </c>
    </row>
    <row r="123" spans="1:15" s="6" customFormat="1" ht="18" customHeight="1" x14ac:dyDescent="0.25">
      <c r="A123" s="17"/>
      <c r="B123" s="298" t="s">
        <v>28</v>
      </c>
      <c r="C123" s="294"/>
      <c r="D123" s="289">
        <v>51</v>
      </c>
      <c r="E123" s="289">
        <v>2</v>
      </c>
      <c r="F123" s="289">
        <v>851</v>
      </c>
      <c r="G123" s="1" t="s">
        <v>86</v>
      </c>
      <c r="H123" s="1" t="s">
        <v>18</v>
      </c>
      <c r="I123" s="1" t="s">
        <v>346</v>
      </c>
      <c r="J123" s="1" t="s">
        <v>29</v>
      </c>
      <c r="K123" s="2">
        <f t="shared" si="67"/>
        <v>100000</v>
      </c>
      <c r="L123" s="116">
        <f t="shared" si="67"/>
        <v>0</v>
      </c>
      <c r="M123" s="2">
        <f t="shared" si="67"/>
        <v>100000</v>
      </c>
      <c r="N123" s="116">
        <f t="shared" si="67"/>
        <v>0</v>
      </c>
      <c r="O123" s="2">
        <f t="shared" si="67"/>
        <v>100000</v>
      </c>
    </row>
    <row r="124" spans="1:15" s="6" customFormat="1" ht="25.5" customHeight="1" x14ac:dyDescent="0.25">
      <c r="A124" s="17"/>
      <c r="B124" s="298" t="s">
        <v>30</v>
      </c>
      <c r="C124" s="295"/>
      <c r="D124" s="289">
        <v>51</v>
      </c>
      <c r="E124" s="289">
        <v>2</v>
      </c>
      <c r="F124" s="289">
        <v>851</v>
      </c>
      <c r="G124" s="1" t="s">
        <v>86</v>
      </c>
      <c r="H124" s="1" t="s">
        <v>18</v>
      </c>
      <c r="I124" s="1" t="s">
        <v>346</v>
      </c>
      <c r="J124" s="1" t="s">
        <v>31</v>
      </c>
      <c r="K124" s="2">
        <f>'6 Вед15'!J145</f>
        <v>100000</v>
      </c>
      <c r="L124" s="116">
        <f>'6 Вед15'!K145</f>
        <v>0</v>
      </c>
      <c r="M124" s="2">
        <f>'6 Вед15'!L145</f>
        <v>100000</v>
      </c>
      <c r="N124" s="116">
        <f>'6 Вед15'!M145</f>
        <v>0</v>
      </c>
      <c r="O124" s="2">
        <f>'6 Вед15'!N145</f>
        <v>100000</v>
      </c>
    </row>
    <row r="125" spans="1:15" s="6" customFormat="1" ht="15" customHeight="1" x14ac:dyDescent="0.25">
      <c r="A125" s="583" t="s">
        <v>100</v>
      </c>
      <c r="B125" s="583"/>
      <c r="C125" s="295"/>
      <c r="D125" s="289">
        <v>51</v>
      </c>
      <c r="E125" s="289">
        <v>2</v>
      </c>
      <c r="F125" s="289">
        <v>851</v>
      </c>
      <c r="G125" s="1" t="s">
        <v>86</v>
      </c>
      <c r="H125" s="1" t="s">
        <v>18</v>
      </c>
      <c r="I125" s="1" t="s">
        <v>347</v>
      </c>
      <c r="J125" s="1"/>
      <c r="K125" s="2">
        <f>K126</f>
        <v>200000</v>
      </c>
      <c r="L125" s="116">
        <f t="shared" ref="L125:O125" si="68">L126</f>
        <v>605000</v>
      </c>
      <c r="M125" s="2">
        <f t="shared" si="68"/>
        <v>805000</v>
      </c>
      <c r="N125" s="116">
        <f t="shared" si="68"/>
        <v>0</v>
      </c>
      <c r="O125" s="2">
        <f t="shared" si="68"/>
        <v>805000</v>
      </c>
    </row>
    <row r="126" spans="1:15" s="6" customFormat="1" ht="17.25" customHeight="1" x14ac:dyDescent="0.25">
      <c r="A126" s="17"/>
      <c r="B126" s="298" t="s">
        <v>28</v>
      </c>
      <c r="C126" s="294"/>
      <c r="D126" s="289">
        <v>51</v>
      </c>
      <c r="E126" s="289">
        <v>2</v>
      </c>
      <c r="F126" s="289">
        <v>851</v>
      </c>
      <c r="G126" s="1" t="s">
        <v>86</v>
      </c>
      <c r="H126" s="1" t="s">
        <v>18</v>
      </c>
      <c r="I126" s="1" t="s">
        <v>347</v>
      </c>
      <c r="J126" s="1" t="s">
        <v>29</v>
      </c>
      <c r="K126" s="2">
        <f t="shared" ref="K126:O126" si="69">K127</f>
        <v>200000</v>
      </c>
      <c r="L126" s="116">
        <f t="shared" si="69"/>
        <v>605000</v>
      </c>
      <c r="M126" s="2">
        <f t="shared" si="69"/>
        <v>805000</v>
      </c>
      <c r="N126" s="116">
        <f t="shared" si="69"/>
        <v>0</v>
      </c>
      <c r="O126" s="2">
        <f t="shared" si="69"/>
        <v>805000</v>
      </c>
    </row>
    <row r="127" spans="1:15" s="6" customFormat="1" ht="27" customHeight="1" x14ac:dyDescent="0.25">
      <c r="A127" s="17"/>
      <c r="B127" s="298" t="s">
        <v>30</v>
      </c>
      <c r="C127" s="295"/>
      <c r="D127" s="289">
        <v>51</v>
      </c>
      <c r="E127" s="289">
        <v>2</v>
      </c>
      <c r="F127" s="289">
        <v>851</v>
      </c>
      <c r="G127" s="1" t="s">
        <v>86</v>
      </c>
      <c r="H127" s="1" t="s">
        <v>18</v>
      </c>
      <c r="I127" s="1" t="s">
        <v>347</v>
      </c>
      <c r="J127" s="1" t="s">
        <v>31</v>
      </c>
      <c r="K127" s="2">
        <f>'6 Вед15'!J148</f>
        <v>200000</v>
      </c>
      <c r="L127" s="116">
        <f>'6 Вед15'!K148</f>
        <v>605000</v>
      </c>
      <c r="M127" s="2">
        <f>'6 Вед15'!L148</f>
        <v>805000</v>
      </c>
      <c r="N127" s="116">
        <f>'6 Вед15'!M148</f>
        <v>0</v>
      </c>
      <c r="O127" s="2">
        <f>'6 Вед15'!N148</f>
        <v>805000</v>
      </c>
    </row>
    <row r="128" spans="1:15" s="6" customFormat="1" ht="12" hidden="1" customHeight="1" x14ac:dyDescent="0.25">
      <c r="A128" s="583" t="s">
        <v>787</v>
      </c>
      <c r="B128" s="583"/>
      <c r="C128" s="399"/>
      <c r="D128" s="289">
        <v>51</v>
      </c>
      <c r="E128" s="289">
        <v>2</v>
      </c>
      <c r="F128" s="289">
        <v>851</v>
      </c>
      <c r="G128" s="1"/>
      <c r="H128" s="1"/>
      <c r="I128" s="1" t="s">
        <v>789</v>
      </c>
      <c r="J128" s="1"/>
      <c r="K128" s="2">
        <f>K129</f>
        <v>0</v>
      </c>
      <c r="L128" s="2">
        <f t="shared" ref="L128:O129" si="70">L129</f>
        <v>0</v>
      </c>
      <c r="M128" s="2">
        <f t="shared" si="70"/>
        <v>0</v>
      </c>
      <c r="N128" s="2">
        <f t="shared" si="70"/>
        <v>0</v>
      </c>
      <c r="O128" s="2">
        <f t="shared" si="70"/>
        <v>0</v>
      </c>
    </row>
    <row r="129" spans="1:15" s="6" customFormat="1" ht="12" hidden="1" customHeight="1" x14ac:dyDescent="0.25">
      <c r="A129" s="401"/>
      <c r="B129" s="583" t="s">
        <v>158</v>
      </c>
      <c r="C129" s="583"/>
      <c r="D129" s="289">
        <v>51</v>
      </c>
      <c r="E129" s="289">
        <v>2</v>
      </c>
      <c r="F129" s="289">
        <v>851</v>
      </c>
      <c r="G129" s="1"/>
      <c r="H129" s="1"/>
      <c r="I129" s="1" t="s">
        <v>789</v>
      </c>
      <c r="J129" s="1" t="s">
        <v>159</v>
      </c>
      <c r="K129" s="2">
        <f>K130</f>
        <v>0</v>
      </c>
      <c r="L129" s="2">
        <f t="shared" si="70"/>
        <v>0</v>
      </c>
      <c r="M129" s="2">
        <f t="shared" si="70"/>
        <v>0</v>
      </c>
      <c r="N129" s="2">
        <f t="shared" si="70"/>
        <v>0</v>
      </c>
      <c r="O129" s="2">
        <f t="shared" si="70"/>
        <v>0</v>
      </c>
    </row>
    <row r="130" spans="1:15" s="6" customFormat="1" ht="12" hidden="1" customHeight="1" x14ac:dyDescent="0.25">
      <c r="A130" s="401"/>
      <c r="B130" s="398" t="s">
        <v>171</v>
      </c>
      <c r="C130" s="400"/>
      <c r="D130" s="289">
        <v>51</v>
      </c>
      <c r="E130" s="289">
        <v>2</v>
      </c>
      <c r="F130" s="289">
        <v>851</v>
      </c>
      <c r="G130" s="1"/>
      <c r="H130" s="1"/>
      <c r="I130" s="1" t="s">
        <v>789</v>
      </c>
      <c r="J130" s="1" t="s">
        <v>172</v>
      </c>
      <c r="K130" s="2"/>
      <c r="L130" s="116">
        <f>'6 Вед15'!K303</f>
        <v>0</v>
      </c>
      <c r="M130" s="2">
        <f>K130+L130</f>
        <v>0</v>
      </c>
      <c r="N130" s="116">
        <f>'6 Вед15'!M303</f>
        <v>0</v>
      </c>
      <c r="O130" s="2">
        <f>M130+N130</f>
        <v>0</v>
      </c>
    </row>
    <row r="131" spans="1:15" s="15" customFormat="1" ht="24" customHeight="1" x14ac:dyDescent="0.25">
      <c r="A131" s="589" t="s">
        <v>663</v>
      </c>
      <c r="B131" s="589"/>
      <c r="C131" s="297"/>
      <c r="D131" s="18">
        <v>51</v>
      </c>
      <c r="E131" s="18">
        <v>3</v>
      </c>
      <c r="F131" s="18"/>
      <c r="G131" s="12"/>
      <c r="H131" s="22"/>
      <c r="I131" s="22"/>
      <c r="J131" s="12"/>
      <c r="K131" s="14">
        <f>K132</f>
        <v>15000</v>
      </c>
      <c r="L131" s="276">
        <f t="shared" ref="L131:O131" si="71">L132</f>
        <v>0</v>
      </c>
      <c r="M131" s="14">
        <f t="shared" si="71"/>
        <v>15000</v>
      </c>
      <c r="N131" s="276">
        <f t="shared" si="71"/>
        <v>0</v>
      </c>
      <c r="O131" s="14">
        <f t="shared" si="71"/>
        <v>15000</v>
      </c>
    </row>
    <row r="132" spans="1:15" s="15" customFormat="1" x14ac:dyDescent="0.25">
      <c r="A132" s="589" t="s">
        <v>16</v>
      </c>
      <c r="B132" s="589"/>
      <c r="C132" s="297"/>
      <c r="D132" s="18">
        <v>51</v>
      </c>
      <c r="E132" s="18">
        <v>3</v>
      </c>
      <c r="F132" s="18">
        <v>851</v>
      </c>
      <c r="G132" s="12"/>
      <c r="H132" s="22"/>
      <c r="I132" s="22"/>
      <c r="J132" s="12"/>
      <c r="K132" s="14">
        <f>K133</f>
        <v>15000</v>
      </c>
      <c r="L132" s="276">
        <f t="shared" ref="L132:O132" si="72">L133</f>
        <v>0</v>
      </c>
      <c r="M132" s="14">
        <f t="shared" si="72"/>
        <v>15000</v>
      </c>
      <c r="N132" s="276">
        <f t="shared" si="72"/>
        <v>0</v>
      </c>
      <c r="O132" s="14">
        <f t="shared" si="72"/>
        <v>15000</v>
      </c>
    </row>
    <row r="133" spans="1:15" s="6" customFormat="1" ht="15" customHeight="1" x14ac:dyDescent="0.25">
      <c r="A133" s="583" t="s">
        <v>102</v>
      </c>
      <c r="B133" s="583"/>
      <c r="C133" s="295"/>
      <c r="D133" s="289">
        <v>51</v>
      </c>
      <c r="E133" s="289">
        <v>3</v>
      </c>
      <c r="F133" s="289">
        <v>851</v>
      </c>
      <c r="G133" s="1" t="s">
        <v>86</v>
      </c>
      <c r="H133" s="1" t="s">
        <v>7</v>
      </c>
      <c r="I133" s="1" t="s">
        <v>348</v>
      </c>
      <c r="J133" s="1"/>
      <c r="K133" s="2">
        <f t="shared" ref="K133:O134" si="73">K134</f>
        <v>15000</v>
      </c>
      <c r="L133" s="116">
        <f t="shared" si="73"/>
        <v>0</v>
      </c>
      <c r="M133" s="2">
        <f t="shared" si="73"/>
        <v>15000</v>
      </c>
      <c r="N133" s="116">
        <f t="shared" si="73"/>
        <v>0</v>
      </c>
      <c r="O133" s="2">
        <f t="shared" si="73"/>
        <v>15000</v>
      </c>
    </row>
    <row r="134" spans="1:15" s="6" customFormat="1" ht="15" customHeight="1" x14ac:dyDescent="0.25">
      <c r="A134" s="17"/>
      <c r="B134" s="295" t="s">
        <v>28</v>
      </c>
      <c r="C134" s="294"/>
      <c r="D134" s="289">
        <v>51</v>
      </c>
      <c r="E134" s="289">
        <v>3</v>
      </c>
      <c r="F134" s="289">
        <v>851</v>
      </c>
      <c r="G134" s="1" t="s">
        <v>86</v>
      </c>
      <c r="H134" s="1" t="s">
        <v>7</v>
      </c>
      <c r="I134" s="1" t="s">
        <v>348</v>
      </c>
      <c r="J134" s="1" t="s">
        <v>29</v>
      </c>
      <c r="K134" s="2">
        <f t="shared" si="73"/>
        <v>15000</v>
      </c>
      <c r="L134" s="116">
        <f t="shared" si="73"/>
        <v>0</v>
      </c>
      <c r="M134" s="2">
        <f t="shared" si="73"/>
        <v>15000</v>
      </c>
      <c r="N134" s="116">
        <f t="shared" si="73"/>
        <v>0</v>
      </c>
      <c r="O134" s="2">
        <f t="shared" si="73"/>
        <v>15000</v>
      </c>
    </row>
    <row r="135" spans="1:15" s="6" customFormat="1" ht="26.25" customHeight="1" x14ac:dyDescent="0.25">
      <c r="A135" s="17"/>
      <c r="B135" s="298" t="s">
        <v>30</v>
      </c>
      <c r="C135" s="295"/>
      <c r="D135" s="289">
        <v>51</v>
      </c>
      <c r="E135" s="289">
        <v>3</v>
      </c>
      <c r="F135" s="289">
        <v>851</v>
      </c>
      <c r="G135" s="1" t="s">
        <v>86</v>
      </c>
      <c r="H135" s="1" t="s">
        <v>7</v>
      </c>
      <c r="I135" s="1" t="s">
        <v>348</v>
      </c>
      <c r="J135" s="1" t="s">
        <v>31</v>
      </c>
      <c r="K135" s="2">
        <f>'6 Вед15'!J152</f>
        <v>15000</v>
      </c>
      <c r="L135" s="116">
        <f>'6 Вед15'!K152</f>
        <v>0</v>
      </c>
      <c r="M135" s="2">
        <f>'6 Вед15'!L152</f>
        <v>15000</v>
      </c>
      <c r="N135" s="116">
        <f>'6 Вед15'!M152</f>
        <v>0</v>
      </c>
      <c r="O135" s="2">
        <f>'6 Вед15'!N152</f>
        <v>15000</v>
      </c>
    </row>
    <row r="136" spans="1:15" s="15" customFormat="1" ht="22.5" customHeight="1" x14ac:dyDescent="0.25">
      <c r="A136" s="589" t="s">
        <v>664</v>
      </c>
      <c r="B136" s="589"/>
      <c r="C136" s="297"/>
      <c r="D136" s="18">
        <v>51</v>
      </c>
      <c r="E136" s="18">
        <v>4</v>
      </c>
      <c r="F136" s="18"/>
      <c r="G136" s="12"/>
      <c r="H136" s="22"/>
      <c r="I136" s="22"/>
      <c r="J136" s="12"/>
      <c r="K136" s="14">
        <f>K137</f>
        <v>544000</v>
      </c>
      <c r="L136" s="276">
        <f t="shared" ref="L136:O136" si="74">L137</f>
        <v>0</v>
      </c>
      <c r="M136" s="14">
        <f t="shared" si="74"/>
        <v>544000</v>
      </c>
      <c r="N136" s="276">
        <f t="shared" si="74"/>
        <v>0</v>
      </c>
      <c r="O136" s="14">
        <f t="shared" si="74"/>
        <v>544000</v>
      </c>
    </row>
    <row r="137" spans="1:15" s="15" customFormat="1" x14ac:dyDescent="0.25">
      <c r="A137" s="589" t="s">
        <v>16</v>
      </c>
      <c r="B137" s="589"/>
      <c r="C137" s="297"/>
      <c r="D137" s="18">
        <v>51</v>
      </c>
      <c r="E137" s="18">
        <v>4</v>
      </c>
      <c r="F137" s="18">
        <v>851</v>
      </c>
      <c r="G137" s="12"/>
      <c r="H137" s="22"/>
      <c r="I137" s="22"/>
      <c r="J137" s="12"/>
      <c r="K137" s="14">
        <f>K138+K141</f>
        <v>544000</v>
      </c>
      <c r="L137" s="276">
        <f t="shared" ref="L137:M137" si="75">L138+L141</f>
        <v>0</v>
      </c>
      <c r="M137" s="14">
        <f t="shared" si="75"/>
        <v>544000</v>
      </c>
      <c r="N137" s="276">
        <f t="shared" ref="N137:O137" si="76">N138+N141</f>
        <v>0</v>
      </c>
      <c r="O137" s="14">
        <f t="shared" si="76"/>
        <v>544000</v>
      </c>
    </row>
    <row r="138" spans="1:15" s="27" customFormat="1" x14ac:dyDescent="0.25">
      <c r="A138" s="583" t="s">
        <v>120</v>
      </c>
      <c r="B138" s="583"/>
      <c r="C138" s="295"/>
      <c r="D138" s="289">
        <v>51</v>
      </c>
      <c r="E138" s="289">
        <v>4</v>
      </c>
      <c r="F138" s="289">
        <v>851</v>
      </c>
      <c r="G138" s="1" t="s">
        <v>39</v>
      </c>
      <c r="H138" s="1" t="s">
        <v>74</v>
      </c>
      <c r="I138" s="1" t="s">
        <v>352</v>
      </c>
      <c r="J138" s="1"/>
      <c r="K138" s="2">
        <f t="shared" ref="K138:O139" si="77">K139</f>
        <v>260000</v>
      </c>
      <c r="L138" s="116">
        <f t="shared" si="77"/>
        <v>0</v>
      </c>
      <c r="M138" s="2">
        <f t="shared" si="77"/>
        <v>260000</v>
      </c>
      <c r="N138" s="116">
        <f t="shared" si="77"/>
        <v>0</v>
      </c>
      <c r="O138" s="2">
        <f t="shared" si="77"/>
        <v>260000</v>
      </c>
    </row>
    <row r="139" spans="1:15" s="6" customFormat="1" ht="15.75" customHeight="1" x14ac:dyDescent="0.25">
      <c r="A139" s="17"/>
      <c r="B139" s="298" t="s">
        <v>28</v>
      </c>
      <c r="C139" s="294"/>
      <c r="D139" s="289">
        <v>51</v>
      </c>
      <c r="E139" s="289">
        <v>4</v>
      </c>
      <c r="F139" s="289">
        <v>851</v>
      </c>
      <c r="G139" s="1" t="s">
        <v>39</v>
      </c>
      <c r="H139" s="1" t="s">
        <v>74</v>
      </c>
      <c r="I139" s="1" t="s">
        <v>352</v>
      </c>
      <c r="J139" s="1" t="s">
        <v>29</v>
      </c>
      <c r="K139" s="2">
        <f t="shared" si="77"/>
        <v>260000</v>
      </c>
      <c r="L139" s="116">
        <f t="shared" si="77"/>
        <v>0</v>
      </c>
      <c r="M139" s="2">
        <f t="shared" si="77"/>
        <v>260000</v>
      </c>
      <c r="N139" s="116">
        <f t="shared" si="77"/>
        <v>0</v>
      </c>
      <c r="O139" s="2">
        <f t="shared" si="77"/>
        <v>260000</v>
      </c>
    </row>
    <row r="140" spans="1:15" s="6" customFormat="1" ht="25.5" customHeight="1" x14ac:dyDescent="0.25">
      <c r="A140" s="17"/>
      <c r="B140" s="298" t="s">
        <v>30</v>
      </c>
      <c r="C140" s="295"/>
      <c r="D140" s="289">
        <v>51</v>
      </c>
      <c r="E140" s="289">
        <v>4</v>
      </c>
      <c r="F140" s="289">
        <v>851</v>
      </c>
      <c r="G140" s="1" t="s">
        <v>39</v>
      </c>
      <c r="H140" s="1" t="s">
        <v>74</v>
      </c>
      <c r="I140" s="1" t="s">
        <v>352</v>
      </c>
      <c r="J140" s="1" t="s">
        <v>31</v>
      </c>
      <c r="K140" s="2">
        <f>'6 Вед15'!J176</f>
        <v>260000</v>
      </c>
      <c r="L140" s="116">
        <f>'6 Вед15'!K176</f>
        <v>0</v>
      </c>
      <c r="M140" s="2">
        <f>'6 Вед15'!L176</f>
        <v>260000</v>
      </c>
      <c r="N140" s="116">
        <f>'6 Вед15'!M176</f>
        <v>0</v>
      </c>
      <c r="O140" s="2">
        <f>'6 Вед15'!N176</f>
        <v>260000</v>
      </c>
    </row>
    <row r="141" spans="1:15" s="6" customFormat="1" ht="36.75" customHeight="1" x14ac:dyDescent="0.25">
      <c r="A141" s="583" t="s">
        <v>610</v>
      </c>
      <c r="B141" s="583"/>
      <c r="C141" s="303"/>
      <c r="D141" s="74">
        <v>51</v>
      </c>
      <c r="E141" s="289">
        <v>4</v>
      </c>
      <c r="F141" s="289">
        <v>851</v>
      </c>
      <c r="G141" s="1" t="s">
        <v>39</v>
      </c>
      <c r="H141" s="1" t="s">
        <v>74</v>
      </c>
      <c r="I141" s="1" t="s">
        <v>619</v>
      </c>
      <c r="J141" s="1"/>
      <c r="K141" s="2">
        <f t="shared" ref="K141:O142" si="78">K142</f>
        <v>284000</v>
      </c>
      <c r="L141" s="116">
        <f t="shared" si="78"/>
        <v>0</v>
      </c>
      <c r="M141" s="2">
        <f t="shared" si="78"/>
        <v>284000</v>
      </c>
      <c r="N141" s="116">
        <f t="shared" si="78"/>
        <v>0</v>
      </c>
      <c r="O141" s="2">
        <f t="shared" si="78"/>
        <v>284000</v>
      </c>
    </row>
    <row r="142" spans="1:15" s="6" customFormat="1" ht="16.5" customHeight="1" x14ac:dyDescent="0.25">
      <c r="A142" s="17"/>
      <c r="B142" s="298" t="s">
        <v>28</v>
      </c>
      <c r="C142" s="303"/>
      <c r="D142" s="74">
        <v>51</v>
      </c>
      <c r="E142" s="289">
        <v>4</v>
      </c>
      <c r="F142" s="289">
        <v>851</v>
      </c>
      <c r="G142" s="1" t="s">
        <v>39</v>
      </c>
      <c r="H142" s="1" t="s">
        <v>74</v>
      </c>
      <c r="I142" s="1" t="s">
        <v>619</v>
      </c>
      <c r="J142" s="1" t="s">
        <v>29</v>
      </c>
      <c r="K142" s="2">
        <f t="shared" si="78"/>
        <v>284000</v>
      </c>
      <c r="L142" s="116">
        <f t="shared" si="78"/>
        <v>0</v>
      </c>
      <c r="M142" s="2">
        <f t="shared" si="78"/>
        <v>284000</v>
      </c>
      <c r="N142" s="116">
        <f t="shared" si="78"/>
        <v>0</v>
      </c>
      <c r="O142" s="2">
        <f t="shared" si="78"/>
        <v>284000</v>
      </c>
    </row>
    <row r="143" spans="1:15" s="6" customFormat="1" ht="24" x14ac:dyDescent="0.25">
      <c r="A143" s="17"/>
      <c r="B143" s="298" t="s">
        <v>30</v>
      </c>
      <c r="C143" s="303"/>
      <c r="D143" s="74">
        <v>51</v>
      </c>
      <c r="E143" s="289">
        <v>4</v>
      </c>
      <c r="F143" s="289">
        <v>851</v>
      </c>
      <c r="G143" s="1" t="s">
        <v>39</v>
      </c>
      <c r="H143" s="1" t="s">
        <v>74</v>
      </c>
      <c r="I143" s="1" t="s">
        <v>619</v>
      </c>
      <c r="J143" s="1" t="s">
        <v>31</v>
      </c>
      <c r="K143" s="2">
        <f>'6 Вед15'!J179</f>
        <v>284000</v>
      </c>
      <c r="L143" s="116">
        <f>'6 Вед15'!K179</f>
        <v>0</v>
      </c>
      <c r="M143" s="2">
        <f>'6 Вед15'!L179</f>
        <v>284000</v>
      </c>
      <c r="N143" s="116">
        <f>'6 Вед15'!M179</f>
        <v>0</v>
      </c>
      <c r="O143" s="2">
        <f>'6 Вед15'!N179</f>
        <v>284000</v>
      </c>
    </row>
    <row r="144" spans="1:15" s="15" customFormat="1" ht="14.25" customHeight="1" x14ac:dyDescent="0.25">
      <c r="A144" s="589" t="s">
        <v>665</v>
      </c>
      <c r="B144" s="589"/>
      <c r="C144" s="297"/>
      <c r="D144" s="18">
        <v>51</v>
      </c>
      <c r="E144" s="18">
        <v>5</v>
      </c>
      <c r="F144" s="18"/>
      <c r="G144" s="12"/>
      <c r="H144" s="22"/>
      <c r="I144" s="22"/>
      <c r="J144" s="12"/>
      <c r="K144" s="14">
        <f>K145</f>
        <v>10868575</v>
      </c>
      <c r="L144" s="276">
        <f t="shared" ref="L144:O144" si="79">L145</f>
        <v>0</v>
      </c>
      <c r="M144" s="14">
        <f t="shared" si="79"/>
        <v>10868575</v>
      </c>
      <c r="N144" s="276">
        <f t="shared" si="79"/>
        <v>115000</v>
      </c>
      <c r="O144" s="14">
        <f t="shared" si="79"/>
        <v>10983575</v>
      </c>
    </row>
    <row r="145" spans="1:15" s="15" customFormat="1" x14ac:dyDescent="0.25">
      <c r="A145" s="589" t="s">
        <v>16</v>
      </c>
      <c r="B145" s="589"/>
      <c r="C145" s="297"/>
      <c r="D145" s="18">
        <v>51</v>
      </c>
      <c r="E145" s="18">
        <v>5</v>
      </c>
      <c r="F145" s="18">
        <v>851</v>
      </c>
      <c r="G145" s="12"/>
      <c r="H145" s="22"/>
      <c r="I145" s="22"/>
      <c r="J145" s="12"/>
      <c r="K145" s="14">
        <f>K146+K149+K154</f>
        <v>10868575</v>
      </c>
      <c r="L145" s="14">
        <f t="shared" ref="L145:M145" si="80">L146+L149+L154</f>
        <v>0</v>
      </c>
      <c r="M145" s="14">
        <f t="shared" si="80"/>
        <v>10868575</v>
      </c>
      <c r="N145" s="14">
        <f t="shared" ref="N145:O145" si="81">N146+N149+N154</f>
        <v>115000</v>
      </c>
      <c r="O145" s="14">
        <f t="shared" si="81"/>
        <v>10983575</v>
      </c>
    </row>
    <row r="146" spans="1:15" s="6" customFormat="1" ht="37.5" customHeight="1" x14ac:dyDescent="0.25">
      <c r="A146" s="583" t="s">
        <v>106</v>
      </c>
      <c r="B146" s="583"/>
      <c r="C146" s="295"/>
      <c r="D146" s="289">
        <v>51</v>
      </c>
      <c r="E146" s="289">
        <v>5</v>
      </c>
      <c r="F146" s="289">
        <v>851</v>
      </c>
      <c r="G146" s="1" t="s">
        <v>0</v>
      </c>
      <c r="H146" s="1" t="s">
        <v>18</v>
      </c>
      <c r="I146" s="1" t="s">
        <v>349</v>
      </c>
      <c r="J146" s="1"/>
      <c r="K146" s="2">
        <f t="shared" ref="K146:O147" si="82">K147</f>
        <v>2587000</v>
      </c>
      <c r="L146" s="116">
        <f t="shared" si="82"/>
        <v>0</v>
      </c>
      <c r="M146" s="2">
        <f t="shared" si="82"/>
        <v>2587000</v>
      </c>
      <c r="N146" s="116">
        <f t="shared" si="82"/>
        <v>115000</v>
      </c>
      <c r="O146" s="2">
        <f t="shared" si="82"/>
        <v>2702000</v>
      </c>
    </row>
    <row r="147" spans="1:15" s="6" customFormat="1" ht="12.75" customHeight="1" x14ac:dyDescent="0.25">
      <c r="A147" s="301"/>
      <c r="B147" s="294" t="s">
        <v>108</v>
      </c>
      <c r="C147" s="294"/>
      <c r="D147" s="289">
        <v>51</v>
      </c>
      <c r="E147" s="289">
        <v>5</v>
      </c>
      <c r="F147" s="289">
        <v>851</v>
      </c>
      <c r="G147" s="1" t="s">
        <v>0</v>
      </c>
      <c r="H147" s="1" t="s">
        <v>18</v>
      </c>
      <c r="I147" s="1" t="s">
        <v>349</v>
      </c>
      <c r="J147" s="1" t="s">
        <v>109</v>
      </c>
      <c r="K147" s="2">
        <f t="shared" si="82"/>
        <v>2587000</v>
      </c>
      <c r="L147" s="116">
        <f t="shared" si="82"/>
        <v>0</v>
      </c>
      <c r="M147" s="2">
        <f t="shared" si="82"/>
        <v>2587000</v>
      </c>
      <c r="N147" s="116">
        <f t="shared" si="82"/>
        <v>115000</v>
      </c>
      <c r="O147" s="2">
        <f t="shared" si="82"/>
        <v>2702000</v>
      </c>
    </row>
    <row r="148" spans="1:15" s="6" customFormat="1" ht="24.75" customHeight="1" x14ac:dyDescent="0.25">
      <c r="A148" s="301"/>
      <c r="B148" s="294" t="s">
        <v>146</v>
      </c>
      <c r="C148" s="294"/>
      <c r="D148" s="289">
        <v>51</v>
      </c>
      <c r="E148" s="289">
        <v>5</v>
      </c>
      <c r="F148" s="289">
        <v>851</v>
      </c>
      <c r="G148" s="1" t="s">
        <v>0</v>
      </c>
      <c r="H148" s="1" t="s">
        <v>18</v>
      </c>
      <c r="I148" s="1" t="s">
        <v>349</v>
      </c>
      <c r="J148" s="1" t="s">
        <v>110</v>
      </c>
      <c r="K148" s="2">
        <f>'6 Вед15'!J157</f>
        <v>2587000</v>
      </c>
      <c r="L148" s="116">
        <f>'6 Вед15'!K157</f>
        <v>0</v>
      </c>
      <c r="M148" s="2">
        <f>'6 Вед15'!L157</f>
        <v>2587000</v>
      </c>
      <c r="N148" s="116">
        <f>'6 Вед15'!M157</f>
        <v>115000</v>
      </c>
      <c r="O148" s="2">
        <f>'6 Вед15'!N157</f>
        <v>2702000</v>
      </c>
    </row>
    <row r="149" spans="1:15" s="6" customFormat="1" ht="16.5" customHeight="1" x14ac:dyDescent="0.25">
      <c r="A149" s="583" t="s">
        <v>117</v>
      </c>
      <c r="B149" s="583"/>
      <c r="C149" s="295"/>
      <c r="D149" s="289">
        <v>51</v>
      </c>
      <c r="E149" s="289">
        <v>5</v>
      </c>
      <c r="F149" s="289">
        <v>851</v>
      </c>
      <c r="G149" s="1" t="s">
        <v>0</v>
      </c>
      <c r="H149" s="1" t="s">
        <v>1</v>
      </c>
      <c r="I149" s="1" t="s">
        <v>351</v>
      </c>
      <c r="J149" s="1"/>
      <c r="K149" s="2">
        <f t="shared" ref="K149" si="83">K150+K152</f>
        <v>270000</v>
      </c>
      <c r="L149" s="116">
        <f t="shared" ref="L149:M149" si="84">L150+L152</f>
        <v>0</v>
      </c>
      <c r="M149" s="2">
        <f t="shared" si="84"/>
        <v>270000</v>
      </c>
      <c r="N149" s="116">
        <f t="shared" ref="N149:O149" si="85">N150+N152</f>
        <v>0</v>
      </c>
      <c r="O149" s="2">
        <f t="shared" si="85"/>
        <v>270000</v>
      </c>
    </row>
    <row r="150" spans="1:15" s="6" customFormat="1" ht="15" customHeight="1" x14ac:dyDescent="0.25">
      <c r="A150" s="17"/>
      <c r="B150" s="295" t="s">
        <v>28</v>
      </c>
      <c r="C150" s="294"/>
      <c r="D150" s="289">
        <v>51</v>
      </c>
      <c r="E150" s="289">
        <v>5</v>
      </c>
      <c r="F150" s="289">
        <v>851</v>
      </c>
      <c r="G150" s="20" t="s">
        <v>0</v>
      </c>
      <c r="H150" s="1" t="s">
        <v>1</v>
      </c>
      <c r="I150" s="1" t="s">
        <v>351</v>
      </c>
      <c r="J150" s="1" t="s">
        <v>29</v>
      </c>
      <c r="K150" s="2">
        <f t="shared" ref="K150:O150" si="86">K151</f>
        <v>90000</v>
      </c>
      <c r="L150" s="116">
        <f t="shared" si="86"/>
        <v>0</v>
      </c>
      <c r="M150" s="2">
        <f t="shared" si="86"/>
        <v>90000</v>
      </c>
      <c r="N150" s="116">
        <f t="shared" si="86"/>
        <v>0</v>
      </c>
      <c r="O150" s="2">
        <f t="shared" si="86"/>
        <v>90000</v>
      </c>
    </row>
    <row r="151" spans="1:15" s="6" customFormat="1" ht="27" customHeight="1" x14ac:dyDescent="0.25">
      <c r="A151" s="17"/>
      <c r="B151" s="298" t="s">
        <v>30</v>
      </c>
      <c r="C151" s="295"/>
      <c r="D151" s="289">
        <v>51</v>
      </c>
      <c r="E151" s="289">
        <v>5</v>
      </c>
      <c r="F151" s="289">
        <v>851</v>
      </c>
      <c r="G151" s="20" t="s">
        <v>0</v>
      </c>
      <c r="H151" s="1" t="s">
        <v>1</v>
      </c>
      <c r="I151" s="1" t="s">
        <v>351</v>
      </c>
      <c r="J151" s="1" t="s">
        <v>31</v>
      </c>
      <c r="K151" s="2">
        <f>'6 Вед15'!J169</f>
        <v>90000</v>
      </c>
      <c r="L151" s="2">
        <f>'6 Вед15'!K169</f>
        <v>0</v>
      </c>
      <c r="M151" s="2">
        <f>'6 Вед15'!L169</f>
        <v>90000</v>
      </c>
      <c r="N151" s="2">
        <f>'6 Вед15'!M169</f>
        <v>0</v>
      </c>
      <c r="O151" s="2">
        <f>'6 Вед15'!N169</f>
        <v>90000</v>
      </c>
    </row>
    <row r="152" spans="1:15" s="6" customFormat="1" x14ac:dyDescent="0.25">
      <c r="A152" s="301"/>
      <c r="B152" s="294" t="s">
        <v>108</v>
      </c>
      <c r="C152" s="294"/>
      <c r="D152" s="289">
        <v>51</v>
      </c>
      <c r="E152" s="289">
        <v>5</v>
      </c>
      <c r="F152" s="289">
        <v>851</v>
      </c>
      <c r="G152" s="1" t="s">
        <v>0</v>
      </c>
      <c r="H152" s="1" t="s">
        <v>1</v>
      </c>
      <c r="I152" s="1" t="s">
        <v>351</v>
      </c>
      <c r="J152" s="1" t="s">
        <v>109</v>
      </c>
      <c r="K152" s="2">
        <f>K153</f>
        <v>180000</v>
      </c>
      <c r="L152" s="116">
        <f t="shared" ref="L152:O152" si="87">L153</f>
        <v>0</v>
      </c>
      <c r="M152" s="2">
        <f t="shared" si="87"/>
        <v>180000</v>
      </c>
      <c r="N152" s="116">
        <f t="shared" si="87"/>
        <v>0</v>
      </c>
      <c r="O152" s="2">
        <f t="shared" si="87"/>
        <v>180000</v>
      </c>
    </row>
    <row r="153" spans="1:15" s="6" customFormat="1" ht="24" x14ac:dyDescent="0.25">
      <c r="A153" s="301"/>
      <c r="B153" s="294" t="s">
        <v>379</v>
      </c>
      <c r="C153" s="294"/>
      <c r="D153" s="289">
        <v>51</v>
      </c>
      <c r="E153" s="289">
        <v>5</v>
      </c>
      <c r="F153" s="289">
        <v>851</v>
      </c>
      <c r="G153" s="1" t="s">
        <v>0</v>
      </c>
      <c r="H153" s="1" t="s">
        <v>1</v>
      </c>
      <c r="I153" s="1" t="s">
        <v>351</v>
      </c>
      <c r="J153" s="1" t="s">
        <v>9</v>
      </c>
      <c r="K153" s="2">
        <f>'6 Вед15'!J171</f>
        <v>180000</v>
      </c>
      <c r="L153" s="2">
        <f>'6 Вед15'!K171</f>
        <v>0</v>
      </c>
      <c r="M153" s="2">
        <f>'6 Вед15'!L171</f>
        <v>180000</v>
      </c>
      <c r="N153" s="2">
        <f>'6 Вед15'!M171</f>
        <v>0</v>
      </c>
      <c r="O153" s="2">
        <f>'6 Вед15'!N171</f>
        <v>180000</v>
      </c>
    </row>
    <row r="154" spans="1:15" s="26" customFormat="1" ht="59.25" customHeight="1" x14ac:dyDescent="0.25">
      <c r="A154" s="583" t="s">
        <v>598</v>
      </c>
      <c r="B154" s="583"/>
      <c r="C154" s="295"/>
      <c r="D154" s="289">
        <v>51</v>
      </c>
      <c r="E154" s="289">
        <v>5</v>
      </c>
      <c r="F154" s="289">
        <v>851</v>
      </c>
      <c r="G154" s="20" t="s">
        <v>0</v>
      </c>
      <c r="H154" s="20" t="s">
        <v>7</v>
      </c>
      <c r="I154" s="20" t="s">
        <v>350</v>
      </c>
      <c r="J154" s="20"/>
      <c r="K154" s="24">
        <f t="shared" ref="K154:O155" si="88">K155</f>
        <v>8011575</v>
      </c>
      <c r="L154" s="277">
        <f t="shared" si="88"/>
        <v>0</v>
      </c>
      <c r="M154" s="24">
        <f t="shared" si="88"/>
        <v>8011575</v>
      </c>
      <c r="N154" s="277">
        <f t="shared" si="88"/>
        <v>0</v>
      </c>
      <c r="O154" s="24">
        <f t="shared" si="88"/>
        <v>8011575</v>
      </c>
    </row>
    <row r="155" spans="1:15" s="6" customFormat="1" ht="13.5" customHeight="1" x14ac:dyDescent="0.25">
      <c r="A155" s="17"/>
      <c r="B155" s="294" t="s">
        <v>108</v>
      </c>
      <c r="C155" s="295"/>
      <c r="D155" s="289">
        <v>51</v>
      </c>
      <c r="E155" s="289">
        <v>5</v>
      </c>
      <c r="F155" s="289">
        <v>851</v>
      </c>
      <c r="G155" s="20" t="s">
        <v>0</v>
      </c>
      <c r="H155" s="20" t="s">
        <v>7</v>
      </c>
      <c r="I155" s="20" t="s">
        <v>350</v>
      </c>
      <c r="J155" s="1" t="s">
        <v>109</v>
      </c>
      <c r="K155" s="2">
        <f t="shared" si="88"/>
        <v>8011575</v>
      </c>
      <c r="L155" s="116">
        <f t="shared" si="88"/>
        <v>0</v>
      </c>
      <c r="M155" s="2">
        <f t="shared" si="88"/>
        <v>8011575</v>
      </c>
      <c r="N155" s="116">
        <f t="shared" si="88"/>
        <v>0</v>
      </c>
      <c r="O155" s="2">
        <f t="shared" si="88"/>
        <v>8011575</v>
      </c>
    </row>
    <row r="156" spans="1:15" s="26" customFormat="1" ht="24.75" customHeight="1" x14ac:dyDescent="0.25">
      <c r="A156" s="295"/>
      <c r="B156" s="295" t="s">
        <v>114</v>
      </c>
      <c r="C156" s="295"/>
      <c r="D156" s="289">
        <v>51</v>
      </c>
      <c r="E156" s="289">
        <v>5</v>
      </c>
      <c r="F156" s="289">
        <v>851</v>
      </c>
      <c r="G156" s="20" t="s">
        <v>0</v>
      </c>
      <c r="H156" s="20" t="s">
        <v>7</v>
      </c>
      <c r="I156" s="20" t="s">
        <v>350</v>
      </c>
      <c r="J156" s="20" t="s">
        <v>115</v>
      </c>
      <c r="K156" s="24">
        <f>'6 Вед15'!J165</f>
        <v>8011575</v>
      </c>
      <c r="L156" s="277">
        <f>'6 Вед15'!K165</f>
        <v>0</v>
      </c>
      <c r="M156" s="24">
        <f>'6 Вед15'!L165</f>
        <v>8011575</v>
      </c>
      <c r="N156" s="277">
        <f>'6 Вед15'!M165</f>
        <v>0</v>
      </c>
      <c r="O156" s="24">
        <f>'6 Вед15'!N165</f>
        <v>8011575</v>
      </c>
    </row>
    <row r="157" spans="1:15" s="15" customFormat="1" ht="25.5" customHeight="1" x14ac:dyDescent="0.25">
      <c r="A157" s="589" t="s">
        <v>666</v>
      </c>
      <c r="B157" s="589"/>
      <c r="C157" s="297"/>
      <c r="D157" s="18">
        <v>51</v>
      </c>
      <c r="E157" s="18">
        <v>6</v>
      </c>
      <c r="F157" s="18"/>
      <c r="G157" s="12"/>
      <c r="H157" s="22"/>
      <c r="I157" s="22"/>
      <c r="J157" s="12"/>
      <c r="K157" s="14">
        <f>K158</f>
        <v>582660</v>
      </c>
      <c r="L157" s="276">
        <f t="shared" ref="L157:O157" si="89">L158</f>
        <v>0</v>
      </c>
      <c r="M157" s="14">
        <f t="shared" si="89"/>
        <v>582660</v>
      </c>
      <c r="N157" s="276">
        <f t="shared" si="89"/>
        <v>0</v>
      </c>
      <c r="O157" s="14">
        <f t="shared" si="89"/>
        <v>582660</v>
      </c>
    </row>
    <row r="158" spans="1:15" s="15" customFormat="1" x14ac:dyDescent="0.25">
      <c r="A158" s="589" t="s">
        <v>16</v>
      </c>
      <c r="B158" s="589"/>
      <c r="C158" s="297"/>
      <c r="D158" s="18">
        <v>51</v>
      </c>
      <c r="E158" s="18">
        <v>6</v>
      </c>
      <c r="F158" s="18">
        <v>851</v>
      </c>
      <c r="G158" s="12"/>
      <c r="H158" s="22"/>
      <c r="I158" s="22"/>
      <c r="J158" s="12"/>
      <c r="K158" s="14">
        <f>K159</f>
        <v>582660</v>
      </c>
      <c r="L158" s="276">
        <f t="shared" ref="L158:O158" si="90">L159</f>
        <v>0</v>
      </c>
      <c r="M158" s="14">
        <f t="shared" si="90"/>
        <v>582660</v>
      </c>
      <c r="N158" s="276">
        <f t="shared" si="90"/>
        <v>0</v>
      </c>
      <c r="O158" s="14">
        <f t="shared" si="90"/>
        <v>582660</v>
      </c>
    </row>
    <row r="159" spans="1:15" s="6" customFormat="1" ht="24.75" customHeight="1" x14ac:dyDescent="0.25">
      <c r="A159" s="591" t="s">
        <v>150</v>
      </c>
      <c r="B159" s="591"/>
      <c r="C159" s="294"/>
      <c r="D159" s="289">
        <v>51</v>
      </c>
      <c r="E159" s="289">
        <v>6</v>
      </c>
      <c r="F159" s="74">
        <v>851</v>
      </c>
      <c r="G159" s="1" t="s">
        <v>0</v>
      </c>
      <c r="H159" s="1" t="s">
        <v>4</v>
      </c>
      <c r="I159" s="74">
        <v>2226</v>
      </c>
      <c r="J159" s="1"/>
      <c r="K159" s="2">
        <f>K160</f>
        <v>582660</v>
      </c>
      <c r="L159" s="116">
        <f t="shared" ref="L159:O159" si="91">L160</f>
        <v>0</v>
      </c>
      <c r="M159" s="2">
        <f t="shared" si="91"/>
        <v>582660</v>
      </c>
      <c r="N159" s="116">
        <f t="shared" si="91"/>
        <v>0</v>
      </c>
      <c r="O159" s="2">
        <f t="shared" si="91"/>
        <v>582660</v>
      </c>
    </row>
    <row r="160" spans="1:15" s="6" customFormat="1" x14ac:dyDescent="0.25">
      <c r="A160" s="301"/>
      <c r="B160" s="294" t="s">
        <v>108</v>
      </c>
      <c r="C160" s="294"/>
      <c r="D160" s="289">
        <v>51</v>
      </c>
      <c r="E160" s="289">
        <v>6</v>
      </c>
      <c r="F160" s="74">
        <v>851</v>
      </c>
      <c r="G160" s="1" t="s">
        <v>0</v>
      </c>
      <c r="H160" s="1" t="s">
        <v>4</v>
      </c>
      <c r="I160" s="74">
        <v>2226</v>
      </c>
      <c r="J160" s="1" t="s">
        <v>109</v>
      </c>
      <c r="K160" s="2">
        <f t="shared" ref="K160:O160" si="92">K161</f>
        <v>582660</v>
      </c>
      <c r="L160" s="116">
        <f t="shared" si="92"/>
        <v>0</v>
      </c>
      <c r="M160" s="2">
        <f t="shared" si="92"/>
        <v>582660</v>
      </c>
      <c r="N160" s="116">
        <f t="shared" si="92"/>
        <v>0</v>
      </c>
      <c r="O160" s="2">
        <f t="shared" si="92"/>
        <v>582660</v>
      </c>
    </row>
    <row r="161" spans="1:15" s="6" customFormat="1" x14ac:dyDescent="0.25">
      <c r="A161" s="301"/>
      <c r="B161" s="294" t="s">
        <v>152</v>
      </c>
      <c r="C161" s="294"/>
      <c r="D161" s="289">
        <v>51</v>
      </c>
      <c r="E161" s="289">
        <v>6</v>
      </c>
      <c r="F161" s="74">
        <v>851</v>
      </c>
      <c r="G161" s="1" t="s">
        <v>0</v>
      </c>
      <c r="H161" s="1" t="s">
        <v>4</v>
      </c>
      <c r="I161" s="74">
        <v>2226</v>
      </c>
      <c r="J161" s="1" t="s">
        <v>153</v>
      </c>
      <c r="K161" s="2">
        <f>'6 Вед15'!J161</f>
        <v>582660</v>
      </c>
      <c r="L161" s="116">
        <f>'6 Вед15'!K161</f>
        <v>0</v>
      </c>
      <c r="M161" s="2">
        <f>'6 Вед15'!L161</f>
        <v>582660</v>
      </c>
      <c r="N161" s="116">
        <f>'6 Вед15'!M161</f>
        <v>0</v>
      </c>
      <c r="O161" s="2">
        <f>'6 Вед15'!N161</f>
        <v>582660</v>
      </c>
    </row>
    <row r="162" spans="1:15" s="15" customFormat="1" ht="23.25" customHeight="1" x14ac:dyDescent="0.25">
      <c r="A162" s="589" t="s">
        <v>667</v>
      </c>
      <c r="B162" s="589"/>
      <c r="C162" s="297"/>
      <c r="D162" s="18">
        <v>51</v>
      </c>
      <c r="E162" s="18">
        <v>7</v>
      </c>
      <c r="F162" s="18"/>
      <c r="G162" s="12"/>
      <c r="H162" s="22"/>
      <c r="I162" s="22"/>
      <c r="J162" s="12"/>
      <c r="K162" s="14">
        <f>K163</f>
        <v>100000</v>
      </c>
      <c r="L162" s="276">
        <f t="shared" ref="L162:O162" si="93">L163</f>
        <v>0</v>
      </c>
      <c r="M162" s="14">
        <f t="shared" si="93"/>
        <v>100000</v>
      </c>
      <c r="N162" s="276">
        <f t="shared" si="93"/>
        <v>0</v>
      </c>
      <c r="O162" s="14">
        <f t="shared" si="93"/>
        <v>100000</v>
      </c>
    </row>
    <row r="163" spans="1:15" s="15" customFormat="1" x14ac:dyDescent="0.25">
      <c r="A163" s="589" t="s">
        <v>16</v>
      </c>
      <c r="B163" s="589"/>
      <c r="C163" s="297"/>
      <c r="D163" s="18">
        <v>51</v>
      </c>
      <c r="E163" s="18">
        <v>7</v>
      </c>
      <c r="F163" s="18">
        <v>851</v>
      </c>
      <c r="G163" s="12"/>
      <c r="H163" s="22"/>
      <c r="I163" s="22"/>
      <c r="J163" s="12"/>
      <c r="K163" s="14">
        <f>K164</f>
        <v>100000</v>
      </c>
      <c r="L163" s="276">
        <f t="shared" ref="L163:O163" si="94">L164</f>
        <v>0</v>
      </c>
      <c r="M163" s="14">
        <f t="shared" si="94"/>
        <v>100000</v>
      </c>
      <c r="N163" s="276">
        <f t="shared" si="94"/>
        <v>0</v>
      </c>
      <c r="O163" s="14">
        <f t="shared" si="94"/>
        <v>100000</v>
      </c>
    </row>
    <row r="164" spans="1:15" s="6" customFormat="1" ht="24" customHeight="1" x14ac:dyDescent="0.25">
      <c r="A164" s="583" t="s">
        <v>569</v>
      </c>
      <c r="B164" s="583"/>
      <c r="C164" s="295"/>
      <c r="D164" s="289">
        <v>51</v>
      </c>
      <c r="E164" s="289">
        <v>7</v>
      </c>
      <c r="F164" s="289">
        <v>851</v>
      </c>
      <c r="G164" s="20" t="s">
        <v>7</v>
      </c>
      <c r="H164" s="20" t="s">
        <v>69</v>
      </c>
      <c r="I164" s="20" t="s">
        <v>574</v>
      </c>
      <c r="J164" s="1"/>
      <c r="K164" s="2">
        <f>K165</f>
        <v>100000</v>
      </c>
      <c r="L164" s="116">
        <f t="shared" ref="L164:O165" si="95">L165</f>
        <v>0</v>
      </c>
      <c r="M164" s="2">
        <f t="shared" si="95"/>
        <v>100000</v>
      </c>
      <c r="N164" s="116">
        <f t="shared" si="95"/>
        <v>0</v>
      </c>
      <c r="O164" s="2">
        <f t="shared" si="95"/>
        <v>100000</v>
      </c>
    </row>
    <row r="165" spans="1:15" s="6" customFormat="1" ht="13.5" customHeight="1" x14ac:dyDescent="0.25">
      <c r="A165" s="17"/>
      <c r="B165" s="295" t="s">
        <v>32</v>
      </c>
      <c r="C165" s="295"/>
      <c r="D165" s="289">
        <v>51</v>
      </c>
      <c r="E165" s="289">
        <v>7</v>
      </c>
      <c r="F165" s="289">
        <v>851</v>
      </c>
      <c r="G165" s="20" t="s">
        <v>7</v>
      </c>
      <c r="H165" s="20" t="s">
        <v>69</v>
      </c>
      <c r="I165" s="20" t="s">
        <v>574</v>
      </c>
      <c r="J165" s="1" t="s">
        <v>33</v>
      </c>
      <c r="K165" s="2">
        <f>K166</f>
        <v>100000</v>
      </c>
      <c r="L165" s="116">
        <f t="shared" si="95"/>
        <v>0</v>
      </c>
      <c r="M165" s="2">
        <f t="shared" si="95"/>
        <v>100000</v>
      </c>
      <c r="N165" s="116">
        <f t="shared" si="95"/>
        <v>0</v>
      </c>
      <c r="O165" s="2">
        <f t="shared" si="95"/>
        <v>100000</v>
      </c>
    </row>
    <row r="166" spans="1:15" s="6" customFormat="1" ht="36" x14ac:dyDescent="0.25">
      <c r="A166" s="17"/>
      <c r="B166" s="295" t="s">
        <v>376</v>
      </c>
      <c r="C166" s="295"/>
      <c r="D166" s="289">
        <v>51</v>
      </c>
      <c r="E166" s="289">
        <v>7</v>
      </c>
      <c r="F166" s="289">
        <v>851</v>
      </c>
      <c r="G166" s="20" t="s">
        <v>7</v>
      </c>
      <c r="H166" s="20" t="s">
        <v>69</v>
      </c>
      <c r="I166" s="20" t="s">
        <v>574</v>
      </c>
      <c r="J166" s="1" t="s">
        <v>67</v>
      </c>
      <c r="K166" s="2">
        <f>'6 Вед15'!J97</f>
        <v>100000</v>
      </c>
      <c r="L166" s="116">
        <f>'6 Вед15'!K97</f>
        <v>0</v>
      </c>
      <c r="M166" s="2">
        <f>'6 Вед15'!L97</f>
        <v>100000</v>
      </c>
      <c r="N166" s="116">
        <f>'6 Вед15'!M97</f>
        <v>0</v>
      </c>
      <c r="O166" s="2">
        <f>'6 Вед15'!N97</f>
        <v>100000</v>
      </c>
    </row>
    <row r="167" spans="1:15" s="6" customFormat="1" ht="27" customHeight="1" x14ac:dyDescent="0.25">
      <c r="A167" s="601" t="s">
        <v>669</v>
      </c>
      <c r="B167" s="602"/>
      <c r="C167" s="17"/>
      <c r="D167" s="305">
        <v>52</v>
      </c>
      <c r="E167" s="74"/>
      <c r="F167" s="17"/>
      <c r="G167" s="17"/>
      <c r="H167" s="17"/>
      <c r="I167" s="1"/>
      <c r="J167" s="1"/>
      <c r="K167" s="9">
        <f t="shared" ref="K167:O167" si="96">K168</f>
        <v>148946959</v>
      </c>
      <c r="L167" s="275">
        <f t="shared" si="96"/>
        <v>325480</v>
      </c>
      <c r="M167" s="9">
        <f t="shared" si="96"/>
        <v>149272439</v>
      </c>
      <c r="N167" s="275">
        <f t="shared" si="96"/>
        <v>1033500</v>
      </c>
      <c r="O167" s="9">
        <f t="shared" si="96"/>
        <v>150305939</v>
      </c>
    </row>
    <row r="168" spans="1:15" s="6" customFormat="1" ht="24.75" customHeight="1" x14ac:dyDescent="0.25">
      <c r="A168" s="550" t="s">
        <v>122</v>
      </c>
      <c r="B168" s="551"/>
      <c r="C168" s="18"/>
      <c r="D168" s="18">
        <v>52</v>
      </c>
      <c r="E168" s="18">
        <v>0</v>
      </c>
      <c r="F168" s="18">
        <v>852</v>
      </c>
      <c r="G168" s="20"/>
      <c r="H168" s="20"/>
      <c r="I168" s="20"/>
      <c r="J168" s="1"/>
      <c r="K168" s="14">
        <f>K169+K172+K175+K178+K181+K190+K195+K198+K201+K204+K209+K212+K215+K224+K227+K230+K233</f>
        <v>148946959</v>
      </c>
      <c r="L168" s="14">
        <f t="shared" ref="L168:M168" si="97">L169+L172+L175+L178+L181+L190+L195+L198+L201+L204+L209+L212+L215+L224+L227+L230+L233</f>
        <v>325480</v>
      </c>
      <c r="M168" s="14">
        <f t="shared" si="97"/>
        <v>149272439</v>
      </c>
      <c r="N168" s="14">
        <f t="shared" ref="N168:O168" si="98">N169+N172+N175+N178+N181+N190+N195+N198+N201+N204+N209+N212+N215+N224+N227+N230+N233</f>
        <v>1033500</v>
      </c>
      <c r="O168" s="14">
        <f t="shared" si="98"/>
        <v>150305939</v>
      </c>
    </row>
    <row r="169" spans="1:15" s="6" customFormat="1" ht="24" customHeight="1" x14ac:dyDescent="0.25">
      <c r="A169" s="583" t="s">
        <v>27</v>
      </c>
      <c r="B169" s="583"/>
      <c r="C169" s="289"/>
      <c r="D169" s="289">
        <v>52</v>
      </c>
      <c r="E169" s="289">
        <v>0</v>
      </c>
      <c r="F169" s="289">
        <v>852</v>
      </c>
      <c r="G169" s="1" t="s">
        <v>37</v>
      </c>
      <c r="H169" s="1" t="s">
        <v>58</v>
      </c>
      <c r="I169" s="1" t="s">
        <v>562</v>
      </c>
      <c r="J169" s="1"/>
      <c r="K169" s="2">
        <f t="shared" ref="K169:O170" si="99">K170</f>
        <v>836500</v>
      </c>
      <c r="L169" s="2">
        <f t="shared" si="99"/>
        <v>0</v>
      </c>
      <c r="M169" s="2">
        <f t="shared" si="99"/>
        <v>836500</v>
      </c>
      <c r="N169" s="2">
        <f t="shared" si="99"/>
        <v>0</v>
      </c>
      <c r="O169" s="2">
        <f t="shared" si="99"/>
        <v>836500</v>
      </c>
    </row>
    <row r="170" spans="1:15" s="6" customFormat="1" ht="36" customHeight="1" x14ac:dyDescent="0.25">
      <c r="A170" s="17"/>
      <c r="B170" s="294" t="s">
        <v>22</v>
      </c>
      <c r="C170" s="289"/>
      <c r="D170" s="289">
        <v>52</v>
      </c>
      <c r="E170" s="289">
        <v>0</v>
      </c>
      <c r="F170" s="289">
        <v>852</v>
      </c>
      <c r="G170" s="1" t="s">
        <v>37</v>
      </c>
      <c r="H170" s="1" t="s">
        <v>58</v>
      </c>
      <c r="I170" s="1" t="s">
        <v>562</v>
      </c>
      <c r="J170" s="1" t="s">
        <v>24</v>
      </c>
      <c r="K170" s="2">
        <f t="shared" si="99"/>
        <v>836500</v>
      </c>
      <c r="L170" s="2">
        <f t="shared" si="99"/>
        <v>0</v>
      </c>
      <c r="M170" s="2">
        <f t="shared" si="99"/>
        <v>836500</v>
      </c>
      <c r="N170" s="2">
        <f t="shared" si="99"/>
        <v>0</v>
      </c>
      <c r="O170" s="2">
        <f t="shared" si="99"/>
        <v>836500</v>
      </c>
    </row>
    <row r="171" spans="1:15" s="6" customFormat="1" ht="12" customHeight="1" x14ac:dyDescent="0.25">
      <c r="A171" s="17"/>
      <c r="B171" s="294" t="s">
        <v>25</v>
      </c>
      <c r="C171" s="289"/>
      <c r="D171" s="289">
        <v>52</v>
      </c>
      <c r="E171" s="289">
        <v>0</v>
      </c>
      <c r="F171" s="289">
        <v>852</v>
      </c>
      <c r="G171" s="1" t="s">
        <v>37</v>
      </c>
      <c r="H171" s="1" t="s">
        <v>58</v>
      </c>
      <c r="I171" s="1" t="s">
        <v>562</v>
      </c>
      <c r="J171" s="1" t="s">
        <v>26</v>
      </c>
      <c r="K171" s="2">
        <f>'6 Вед15'!J224</f>
        <v>836500</v>
      </c>
      <c r="L171" s="2">
        <f>'6 Вед15'!K224</f>
        <v>0</v>
      </c>
      <c r="M171" s="2">
        <f>'6 Вед15'!L224</f>
        <v>836500</v>
      </c>
      <c r="N171" s="2">
        <f>'6 Вед15'!M224</f>
        <v>0</v>
      </c>
      <c r="O171" s="2">
        <f>'6 Вед15'!N224</f>
        <v>836500</v>
      </c>
    </row>
    <row r="172" spans="1:15" s="26" customFormat="1" ht="13.5" customHeight="1" x14ac:dyDescent="0.25">
      <c r="A172" s="600" t="s">
        <v>126</v>
      </c>
      <c r="B172" s="600"/>
      <c r="C172" s="295"/>
      <c r="D172" s="289">
        <v>52</v>
      </c>
      <c r="E172" s="289">
        <v>0</v>
      </c>
      <c r="F172" s="289">
        <v>852</v>
      </c>
      <c r="G172" s="20" t="s">
        <v>37</v>
      </c>
      <c r="H172" s="20" t="s">
        <v>18</v>
      </c>
      <c r="I172" s="20" t="s">
        <v>355</v>
      </c>
      <c r="J172" s="20"/>
      <c r="K172" s="24">
        <f t="shared" ref="K172:O173" si="100">K173</f>
        <v>11495900</v>
      </c>
      <c r="L172" s="24">
        <f t="shared" si="100"/>
        <v>0</v>
      </c>
      <c r="M172" s="24">
        <f t="shared" si="100"/>
        <v>11495900</v>
      </c>
      <c r="N172" s="24">
        <f t="shared" si="100"/>
        <v>0</v>
      </c>
      <c r="O172" s="24">
        <f t="shared" si="100"/>
        <v>11495900</v>
      </c>
    </row>
    <row r="173" spans="1:15" s="26" customFormat="1" ht="24.75" customHeight="1" x14ac:dyDescent="0.25">
      <c r="A173" s="298"/>
      <c r="B173" s="298" t="s">
        <v>95</v>
      </c>
      <c r="C173" s="295"/>
      <c r="D173" s="289">
        <v>52</v>
      </c>
      <c r="E173" s="289">
        <v>0</v>
      </c>
      <c r="F173" s="289">
        <v>852</v>
      </c>
      <c r="G173" s="20" t="s">
        <v>37</v>
      </c>
      <c r="H173" s="20" t="s">
        <v>18</v>
      </c>
      <c r="I173" s="20" t="s">
        <v>355</v>
      </c>
      <c r="J173" s="20" t="s">
        <v>90</v>
      </c>
      <c r="K173" s="24">
        <f t="shared" si="100"/>
        <v>11495900</v>
      </c>
      <c r="L173" s="24">
        <f t="shared" si="100"/>
        <v>0</v>
      </c>
      <c r="M173" s="24">
        <f t="shared" si="100"/>
        <v>11495900</v>
      </c>
      <c r="N173" s="24">
        <f t="shared" si="100"/>
        <v>0</v>
      </c>
      <c r="O173" s="24">
        <f t="shared" si="100"/>
        <v>11495900</v>
      </c>
    </row>
    <row r="174" spans="1:15" s="6" customFormat="1" ht="39" customHeight="1" x14ac:dyDescent="0.25">
      <c r="A174" s="298"/>
      <c r="B174" s="298" t="s">
        <v>91</v>
      </c>
      <c r="C174" s="295"/>
      <c r="D174" s="289">
        <v>52</v>
      </c>
      <c r="E174" s="289">
        <v>0</v>
      </c>
      <c r="F174" s="289">
        <v>852</v>
      </c>
      <c r="G174" s="1" t="s">
        <v>37</v>
      </c>
      <c r="H174" s="1" t="s">
        <v>18</v>
      </c>
      <c r="I174" s="1" t="s">
        <v>355</v>
      </c>
      <c r="J174" s="1" t="s">
        <v>92</v>
      </c>
      <c r="K174" s="2">
        <f>'6 Вед15'!J185</f>
        <v>11495900</v>
      </c>
      <c r="L174" s="2">
        <f>'6 Вед15'!K185</f>
        <v>0</v>
      </c>
      <c r="M174" s="2">
        <f>'6 Вед15'!L185</f>
        <v>11495900</v>
      </c>
      <c r="N174" s="2">
        <f>'6 Вед15'!M185</f>
        <v>0</v>
      </c>
      <c r="O174" s="2">
        <f>'6 Вед15'!N185</f>
        <v>11495900</v>
      </c>
    </row>
    <row r="175" spans="1:15" s="6" customFormat="1" x14ac:dyDescent="0.25">
      <c r="A175" s="583" t="s">
        <v>135</v>
      </c>
      <c r="B175" s="583"/>
      <c r="C175" s="295"/>
      <c r="D175" s="289">
        <v>52</v>
      </c>
      <c r="E175" s="289">
        <v>0</v>
      </c>
      <c r="F175" s="289">
        <v>852</v>
      </c>
      <c r="G175" s="1" t="s">
        <v>37</v>
      </c>
      <c r="H175" s="1" t="s">
        <v>74</v>
      </c>
      <c r="I175" s="1" t="s">
        <v>356</v>
      </c>
      <c r="J175" s="1"/>
      <c r="K175" s="2">
        <f t="shared" ref="K175:O176" si="101">K176</f>
        <v>13985000</v>
      </c>
      <c r="L175" s="2">
        <f t="shared" si="101"/>
        <v>0</v>
      </c>
      <c r="M175" s="2">
        <f t="shared" si="101"/>
        <v>13985000</v>
      </c>
      <c r="N175" s="2">
        <f t="shared" si="101"/>
        <v>-49248</v>
      </c>
      <c r="O175" s="2">
        <f t="shared" si="101"/>
        <v>13935752</v>
      </c>
    </row>
    <row r="176" spans="1:15" s="6" customFormat="1" ht="24" x14ac:dyDescent="0.25">
      <c r="A176" s="295"/>
      <c r="B176" s="298" t="s">
        <v>95</v>
      </c>
      <c r="C176" s="295"/>
      <c r="D176" s="289">
        <v>52</v>
      </c>
      <c r="E176" s="289">
        <v>0</v>
      </c>
      <c r="F176" s="289">
        <v>852</v>
      </c>
      <c r="G176" s="1" t="s">
        <v>37</v>
      </c>
      <c r="H176" s="20" t="s">
        <v>74</v>
      </c>
      <c r="I176" s="20" t="s">
        <v>356</v>
      </c>
      <c r="J176" s="1" t="s">
        <v>90</v>
      </c>
      <c r="K176" s="2">
        <f t="shared" si="101"/>
        <v>13985000</v>
      </c>
      <c r="L176" s="2">
        <f t="shared" si="101"/>
        <v>0</v>
      </c>
      <c r="M176" s="2">
        <f t="shared" si="101"/>
        <v>13985000</v>
      </c>
      <c r="N176" s="2">
        <f t="shared" si="101"/>
        <v>-49248</v>
      </c>
      <c r="O176" s="2">
        <f t="shared" si="101"/>
        <v>13935752</v>
      </c>
    </row>
    <row r="177" spans="1:15" s="6" customFormat="1" ht="48" x14ac:dyDescent="0.25">
      <c r="A177" s="295"/>
      <c r="B177" s="298" t="s">
        <v>91</v>
      </c>
      <c r="C177" s="295"/>
      <c r="D177" s="289">
        <v>52</v>
      </c>
      <c r="E177" s="289">
        <v>0</v>
      </c>
      <c r="F177" s="289">
        <v>852</v>
      </c>
      <c r="G177" s="1" t="s">
        <v>37</v>
      </c>
      <c r="H177" s="20" t="s">
        <v>74</v>
      </c>
      <c r="I177" s="20" t="s">
        <v>356</v>
      </c>
      <c r="J177" s="1" t="s">
        <v>92</v>
      </c>
      <c r="K177" s="2">
        <f>'6 Вед15'!J198</f>
        <v>13985000</v>
      </c>
      <c r="L177" s="2">
        <f>'6 Вед15'!K198</f>
        <v>0</v>
      </c>
      <c r="M177" s="2">
        <f>'6 Вед15'!L198</f>
        <v>13985000</v>
      </c>
      <c r="N177" s="2">
        <f>'6 Вед15'!M198</f>
        <v>-49248</v>
      </c>
      <c r="O177" s="2">
        <f>'6 Вед15'!N198</f>
        <v>13935752</v>
      </c>
    </row>
    <row r="178" spans="1:15" s="6" customFormat="1" x14ac:dyDescent="0.25">
      <c r="A178" s="583" t="s">
        <v>137</v>
      </c>
      <c r="B178" s="583"/>
      <c r="C178" s="295"/>
      <c r="D178" s="289">
        <v>52</v>
      </c>
      <c r="E178" s="289">
        <v>0</v>
      </c>
      <c r="F178" s="289">
        <v>852</v>
      </c>
      <c r="G178" s="20" t="s">
        <v>37</v>
      </c>
      <c r="H178" s="20" t="s">
        <v>74</v>
      </c>
      <c r="I178" s="20" t="s">
        <v>357</v>
      </c>
      <c r="J178" s="1"/>
      <c r="K178" s="2">
        <f t="shared" ref="K178:O179" si="102">K179</f>
        <v>8331600</v>
      </c>
      <c r="L178" s="2">
        <f t="shared" si="102"/>
        <v>0</v>
      </c>
      <c r="M178" s="2">
        <f t="shared" si="102"/>
        <v>8331600</v>
      </c>
      <c r="N178" s="2">
        <f t="shared" si="102"/>
        <v>0</v>
      </c>
      <c r="O178" s="2">
        <f t="shared" si="102"/>
        <v>8331600</v>
      </c>
    </row>
    <row r="179" spans="1:15" s="6" customFormat="1" ht="24" x14ac:dyDescent="0.25">
      <c r="A179" s="295"/>
      <c r="B179" s="298" t="s">
        <v>95</v>
      </c>
      <c r="C179" s="295"/>
      <c r="D179" s="289">
        <v>52</v>
      </c>
      <c r="E179" s="289">
        <v>0</v>
      </c>
      <c r="F179" s="289">
        <v>852</v>
      </c>
      <c r="G179" s="1" t="s">
        <v>37</v>
      </c>
      <c r="H179" s="20" t="s">
        <v>74</v>
      </c>
      <c r="I179" s="20" t="s">
        <v>357</v>
      </c>
      <c r="J179" s="1" t="s">
        <v>90</v>
      </c>
      <c r="K179" s="2">
        <f t="shared" si="102"/>
        <v>8331600</v>
      </c>
      <c r="L179" s="2">
        <f t="shared" si="102"/>
        <v>0</v>
      </c>
      <c r="M179" s="2">
        <f t="shared" si="102"/>
        <v>8331600</v>
      </c>
      <c r="N179" s="2">
        <f t="shared" si="102"/>
        <v>0</v>
      </c>
      <c r="O179" s="2">
        <f t="shared" si="102"/>
        <v>8331600</v>
      </c>
    </row>
    <row r="180" spans="1:15" s="6" customFormat="1" x14ac:dyDescent="0.25">
      <c r="A180" s="295"/>
      <c r="B180" s="19" t="s">
        <v>130</v>
      </c>
      <c r="C180" s="295"/>
      <c r="D180" s="289">
        <v>52</v>
      </c>
      <c r="E180" s="289">
        <v>0</v>
      </c>
      <c r="F180" s="289">
        <v>852</v>
      </c>
      <c r="G180" s="1" t="s">
        <v>37</v>
      </c>
      <c r="H180" s="20" t="s">
        <v>74</v>
      </c>
      <c r="I180" s="20" t="s">
        <v>357</v>
      </c>
      <c r="J180" s="1" t="s">
        <v>92</v>
      </c>
      <c r="K180" s="2">
        <f>'6 Вед15'!J201</f>
        <v>8331600</v>
      </c>
      <c r="L180" s="2">
        <f>'6 Вед15'!K201</f>
        <v>0</v>
      </c>
      <c r="M180" s="2">
        <f>'6 Вед15'!L201</f>
        <v>8331600</v>
      </c>
      <c r="N180" s="2">
        <f>'6 Вед15'!M201</f>
        <v>0</v>
      </c>
      <c r="O180" s="2">
        <f>'6 Вед15'!N201</f>
        <v>8331600</v>
      </c>
    </row>
    <row r="181" spans="1:15" s="6" customFormat="1" ht="15" customHeight="1" x14ac:dyDescent="0.25">
      <c r="A181" s="583" t="s">
        <v>144</v>
      </c>
      <c r="B181" s="583"/>
      <c r="C181" s="295"/>
      <c r="D181" s="289">
        <v>52</v>
      </c>
      <c r="E181" s="289">
        <v>0</v>
      </c>
      <c r="F181" s="289">
        <v>852</v>
      </c>
      <c r="G181" s="1" t="s">
        <v>37</v>
      </c>
      <c r="H181" s="1" t="s">
        <v>58</v>
      </c>
      <c r="I181" s="1" t="s">
        <v>360</v>
      </c>
      <c r="J181" s="1"/>
      <c r="K181" s="2">
        <f t="shared" ref="K181" si="103">K182+K184+K186+K188</f>
        <v>9831800</v>
      </c>
      <c r="L181" s="2">
        <f t="shared" ref="L181:M181" si="104">L182+L184+L186+L188</f>
        <v>0</v>
      </c>
      <c r="M181" s="2">
        <f t="shared" si="104"/>
        <v>9831800</v>
      </c>
      <c r="N181" s="2">
        <f t="shared" ref="N181:O181" si="105">N182+N184+N186+N188</f>
        <v>57314</v>
      </c>
      <c r="O181" s="2">
        <f t="shared" si="105"/>
        <v>9889114</v>
      </c>
    </row>
    <row r="182" spans="1:15" s="6" customFormat="1" ht="36.75" customHeight="1" x14ac:dyDescent="0.25">
      <c r="A182" s="17"/>
      <c r="B182" s="294" t="s">
        <v>22</v>
      </c>
      <c r="C182" s="289"/>
      <c r="D182" s="289">
        <v>52</v>
      </c>
      <c r="E182" s="289">
        <v>0</v>
      </c>
      <c r="F182" s="289">
        <v>852</v>
      </c>
      <c r="G182" s="1" t="s">
        <v>37</v>
      </c>
      <c r="H182" s="1" t="s">
        <v>58</v>
      </c>
      <c r="I182" s="1" t="s">
        <v>360</v>
      </c>
      <c r="J182" s="1" t="s">
        <v>24</v>
      </c>
      <c r="K182" s="2">
        <f t="shared" ref="K182:O182" si="106">K183</f>
        <v>2427300</v>
      </c>
      <c r="L182" s="2">
        <f t="shared" si="106"/>
        <v>0</v>
      </c>
      <c r="M182" s="2">
        <f t="shared" si="106"/>
        <v>2427300</v>
      </c>
      <c r="N182" s="2">
        <f t="shared" si="106"/>
        <v>1824</v>
      </c>
      <c r="O182" s="2">
        <f t="shared" si="106"/>
        <v>2429124</v>
      </c>
    </row>
    <row r="183" spans="1:15" s="6" customFormat="1" ht="12.75" customHeight="1" x14ac:dyDescent="0.25">
      <c r="A183" s="17"/>
      <c r="B183" s="294" t="s">
        <v>25</v>
      </c>
      <c r="C183" s="289"/>
      <c r="D183" s="289">
        <v>52</v>
      </c>
      <c r="E183" s="289">
        <v>0</v>
      </c>
      <c r="F183" s="289">
        <v>852</v>
      </c>
      <c r="G183" s="1" t="s">
        <v>37</v>
      </c>
      <c r="H183" s="1" t="s">
        <v>58</v>
      </c>
      <c r="I183" s="1" t="s">
        <v>360</v>
      </c>
      <c r="J183" s="1" t="s">
        <v>26</v>
      </c>
      <c r="K183" s="2">
        <f>'6 Вед15'!J227</f>
        <v>2427300</v>
      </c>
      <c r="L183" s="2">
        <f>'6 Вед15'!K227</f>
        <v>0</v>
      </c>
      <c r="M183" s="2">
        <f>'6 Вед15'!L227</f>
        <v>2427300</v>
      </c>
      <c r="N183" s="2">
        <f>'6 Вед15'!M227</f>
        <v>1824</v>
      </c>
      <c r="O183" s="2">
        <f>'6 Вед15'!N227</f>
        <v>2429124</v>
      </c>
    </row>
    <row r="184" spans="1:15" s="6" customFormat="1" ht="12" customHeight="1" x14ac:dyDescent="0.25">
      <c r="A184" s="294"/>
      <c r="B184" s="298" t="s">
        <v>28</v>
      </c>
      <c r="C184" s="294"/>
      <c r="D184" s="289">
        <v>52</v>
      </c>
      <c r="E184" s="289">
        <v>0</v>
      </c>
      <c r="F184" s="289">
        <v>852</v>
      </c>
      <c r="G184" s="1" t="s">
        <v>37</v>
      </c>
      <c r="H184" s="1" t="s">
        <v>58</v>
      </c>
      <c r="I184" s="1" t="s">
        <v>360</v>
      </c>
      <c r="J184" s="1" t="s">
        <v>29</v>
      </c>
      <c r="K184" s="2">
        <f t="shared" ref="K184:O184" si="107">K185</f>
        <v>505100</v>
      </c>
      <c r="L184" s="2">
        <f t="shared" si="107"/>
        <v>0</v>
      </c>
      <c r="M184" s="2">
        <f t="shared" si="107"/>
        <v>505100</v>
      </c>
      <c r="N184" s="2">
        <f t="shared" si="107"/>
        <v>-1824</v>
      </c>
      <c r="O184" s="2">
        <f t="shared" si="107"/>
        <v>503276</v>
      </c>
    </row>
    <row r="185" spans="1:15" s="6" customFormat="1" ht="24" customHeight="1" x14ac:dyDescent="0.25">
      <c r="A185" s="294"/>
      <c r="B185" s="298" t="s">
        <v>30</v>
      </c>
      <c r="C185" s="295"/>
      <c r="D185" s="289">
        <v>52</v>
      </c>
      <c r="E185" s="289">
        <v>0</v>
      </c>
      <c r="F185" s="289">
        <v>852</v>
      </c>
      <c r="G185" s="1" t="s">
        <v>37</v>
      </c>
      <c r="H185" s="1" t="s">
        <v>58</v>
      </c>
      <c r="I185" s="1" t="s">
        <v>360</v>
      </c>
      <c r="J185" s="1" t="s">
        <v>31</v>
      </c>
      <c r="K185" s="2">
        <f>'6 Вед15'!J229</f>
        <v>505100</v>
      </c>
      <c r="L185" s="2">
        <f>'6 Вед15'!K229</f>
        <v>0</v>
      </c>
      <c r="M185" s="2">
        <f>'6 Вед15'!L229</f>
        <v>505100</v>
      </c>
      <c r="N185" s="2">
        <f>'6 Вед15'!M229</f>
        <v>-1824</v>
      </c>
      <c r="O185" s="2">
        <f>'6 Вед15'!N229</f>
        <v>503276</v>
      </c>
    </row>
    <row r="186" spans="1:15" s="6" customFormat="1" ht="24" x14ac:dyDescent="0.25">
      <c r="A186" s="295"/>
      <c r="B186" s="298" t="s">
        <v>95</v>
      </c>
      <c r="C186" s="295"/>
      <c r="D186" s="289">
        <v>52</v>
      </c>
      <c r="E186" s="289">
        <v>0</v>
      </c>
      <c r="F186" s="289">
        <v>852</v>
      </c>
      <c r="G186" s="1" t="s">
        <v>37</v>
      </c>
      <c r="H186" s="1" t="s">
        <v>58</v>
      </c>
      <c r="I186" s="1" t="s">
        <v>360</v>
      </c>
      <c r="J186" s="1" t="s">
        <v>90</v>
      </c>
      <c r="K186" s="2">
        <f t="shared" ref="K186:O186" si="108">K187</f>
        <v>6887400</v>
      </c>
      <c r="L186" s="2">
        <f t="shared" si="108"/>
        <v>0</v>
      </c>
      <c r="M186" s="2">
        <f t="shared" si="108"/>
        <v>6887400</v>
      </c>
      <c r="N186" s="2">
        <f t="shared" si="108"/>
        <v>57314</v>
      </c>
      <c r="O186" s="2">
        <f t="shared" si="108"/>
        <v>6944714</v>
      </c>
    </row>
    <row r="187" spans="1:15" s="6" customFormat="1" ht="48" x14ac:dyDescent="0.25">
      <c r="A187" s="295"/>
      <c r="B187" s="298" t="s">
        <v>91</v>
      </c>
      <c r="C187" s="295"/>
      <c r="D187" s="289">
        <v>52</v>
      </c>
      <c r="E187" s="289">
        <v>0</v>
      </c>
      <c r="F187" s="289">
        <v>852</v>
      </c>
      <c r="G187" s="1" t="s">
        <v>37</v>
      </c>
      <c r="H187" s="1" t="s">
        <v>58</v>
      </c>
      <c r="I187" s="1" t="s">
        <v>360</v>
      </c>
      <c r="J187" s="1" t="s">
        <v>92</v>
      </c>
      <c r="K187" s="2">
        <f>'6 Вед15'!J231</f>
        <v>6887400</v>
      </c>
      <c r="L187" s="2">
        <f>'6 Вед15'!K231</f>
        <v>0</v>
      </c>
      <c r="M187" s="2">
        <f>'6 Вед15'!L231</f>
        <v>6887400</v>
      </c>
      <c r="N187" s="2">
        <f>'6 Вед15'!M231</f>
        <v>57314</v>
      </c>
      <c r="O187" s="2">
        <f>'6 Вед15'!N231</f>
        <v>6944714</v>
      </c>
    </row>
    <row r="188" spans="1:15" s="6" customFormat="1" ht="12" customHeight="1" x14ac:dyDescent="0.25">
      <c r="A188" s="295"/>
      <c r="B188" s="295" t="s">
        <v>32</v>
      </c>
      <c r="C188" s="295"/>
      <c r="D188" s="289">
        <v>52</v>
      </c>
      <c r="E188" s="289">
        <v>0</v>
      </c>
      <c r="F188" s="289">
        <v>852</v>
      </c>
      <c r="G188" s="1" t="s">
        <v>37</v>
      </c>
      <c r="H188" s="1" t="s">
        <v>58</v>
      </c>
      <c r="I188" s="1" t="s">
        <v>360</v>
      </c>
      <c r="J188" s="1" t="s">
        <v>33</v>
      </c>
      <c r="K188" s="2">
        <f t="shared" ref="K188:O188" si="109">K189</f>
        <v>12000</v>
      </c>
      <c r="L188" s="2">
        <f t="shared" si="109"/>
        <v>0</v>
      </c>
      <c r="M188" s="2">
        <f t="shared" si="109"/>
        <v>12000</v>
      </c>
      <c r="N188" s="2">
        <f t="shared" si="109"/>
        <v>0</v>
      </c>
      <c r="O188" s="2">
        <f t="shared" si="109"/>
        <v>12000</v>
      </c>
    </row>
    <row r="189" spans="1:15" s="6" customFormat="1" ht="12.75" customHeight="1" x14ac:dyDescent="0.25">
      <c r="A189" s="295"/>
      <c r="B189" s="295" t="s">
        <v>34</v>
      </c>
      <c r="C189" s="295"/>
      <c r="D189" s="289">
        <v>52</v>
      </c>
      <c r="E189" s="289">
        <v>0</v>
      </c>
      <c r="F189" s="289">
        <v>852</v>
      </c>
      <c r="G189" s="1" t="s">
        <v>37</v>
      </c>
      <c r="H189" s="1" t="s">
        <v>58</v>
      </c>
      <c r="I189" s="1" t="s">
        <v>360</v>
      </c>
      <c r="J189" s="1" t="s">
        <v>35</v>
      </c>
      <c r="K189" s="2">
        <f>'6 Вед15'!J233</f>
        <v>12000</v>
      </c>
      <c r="L189" s="2">
        <f>'6 Вед15'!K233</f>
        <v>0</v>
      </c>
      <c r="M189" s="2">
        <f>'6 Вед15'!L233</f>
        <v>12000</v>
      </c>
      <c r="N189" s="2">
        <f>'6 Вед15'!M233</f>
        <v>0</v>
      </c>
      <c r="O189" s="2">
        <f>'6 Вед15'!N233</f>
        <v>12000</v>
      </c>
    </row>
    <row r="190" spans="1:15" s="6" customFormat="1" ht="47.25" customHeight="1" x14ac:dyDescent="0.25">
      <c r="A190" s="583" t="s">
        <v>46</v>
      </c>
      <c r="B190" s="583"/>
      <c r="C190" s="289"/>
      <c r="D190" s="289">
        <v>52</v>
      </c>
      <c r="E190" s="289">
        <v>0</v>
      </c>
      <c r="F190" s="289">
        <v>852</v>
      </c>
      <c r="G190" s="1" t="s">
        <v>0</v>
      </c>
      <c r="H190" s="1" t="s">
        <v>1</v>
      </c>
      <c r="I190" s="1" t="s">
        <v>334</v>
      </c>
      <c r="J190" s="1"/>
      <c r="K190" s="2">
        <f t="shared" ref="K190" si="110">K191+K193</f>
        <v>510800</v>
      </c>
      <c r="L190" s="2">
        <f t="shared" ref="L190:M190" si="111">L191+L193</f>
        <v>0</v>
      </c>
      <c r="M190" s="2">
        <f t="shared" si="111"/>
        <v>510800</v>
      </c>
      <c r="N190" s="2">
        <f t="shared" ref="N190:O190" si="112">N191+N193</f>
        <v>-35763</v>
      </c>
      <c r="O190" s="2">
        <f t="shared" si="112"/>
        <v>475037</v>
      </c>
    </row>
    <row r="191" spans="1:15" s="6" customFormat="1" ht="39" customHeight="1" x14ac:dyDescent="0.25">
      <c r="A191" s="17"/>
      <c r="B191" s="294" t="s">
        <v>22</v>
      </c>
      <c r="C191" s="289"/>
      <c r="D191" s="289">
        <v>52</v>
      </c>
      <c r="E191" s="289">
        <v>0</v>
      </c>
      <c r="F191" s="289">
        <v>852</v>
      </c>
      <c r="G191" s="20" t="s">
        <v>0</v>
      </c>
      <c r="H191" s="20" t="s">
        <v>1</v>
      </c>
      <c r="I191" s="20" t="s">
        <v>334</v>
      </c>
      <c r="J191" s="1" t="s">
        <v>24</v>
      </c>
      <c r="K191" s="2">
        <f t="shared" ref="K191:O191" si="113">K192</f>
        <v>379550</v>
      </c>
      <c r="L191" s="2">
        <f t="shared" si="113"/>
        <v>0</v>
      </c>
      <c r="M191" s="2">
        <f t="shared" si="113"/>
        <v>379550</v>
      </c>
      <c r="N191" s="2">
        <f t="shared" si="113"/>
        <v>0</v>
      </c>
      <c r="O191" s="2">
        <f t="shared" si="113"/>
        <v>379550</v>
      </c>
    </row>
    <row r="192" spans="1:15" s="6" customFormat="1" ht="15" customHeight="1" x14ac:dyDescent="0.25">
      <c r="A192" s="17"/>
      <c r="B192" s="294" t="s">
        <v>25</v>
      </c>
      <c r="C192" s="289"/>
      <c r="D192" s="289">
        <v>52</v>
      </c>
      <c r="E192" s="289">
        <v>0</v>
      </c>
      <c r="F192" s="289">
        <v>852</v>
      </c>
      <c r="G192" s="20" t="s">
        <v>0</v>
      </c>
      <c r="H192" s="20" t="s">
        <v>1</v>
      </c>
      <c r="I192" s="20" t="s">
        <v>334</v>
      </c>
      <c r="J192" s="1" t="s">
        <v>26</v>
      </c>
      <c r="K192" s="2">
        <f>'6 Вед15'!J257</f>
        <v>379550</v>
      </c>
      <c r="L192" s="2">
        <f>'6 Вед15'!K257</f>
        <v>0</v>
      </c>
      <c r="M192" s="2">
        <f>'6 Вед15'!L257</f>
        <v>379550</v>
      </c>
      <c r="N192" s="2">
        <f>'6 Вед15'!M257</f>
        <v>0</v>
      </c>
      <c r="O192" s="2">
        <f>'6 Вед15'!N257</f>
        <v>379550</v>
      </c>
    </row>
    <row r="193" spans="1:15" s="6" customFormat="1" ht="15" customHeight="1" x14ac:dyDescent="0.25">
      <c r="A193" s="17"/>
      <c r="B193" s="298" t="s">
        <v>28</v>
      </c>
      <c r="C193" s="289"/>
      <c r="D193" s="289">
        <v>52</v>
      </c>
      <c r="E193" s="289">
        <v>0</v>
      </c>
      <c r="F193" s="289">
        <v>852</v>
      </c>
      <c r="G193" s="20" t="s">
        <v>0</v>
      </c>
      <c r="H193" s="20" t="s">
        <v>1</v>
      </c>
      <c r="I193" s="20" t="s">
        <v>334</v>
      </c>
      <c r="J193" s="1" t="s">
        <v>29</v>
      </c>
      <c r="K193" s="2">
        <f t="shared" ref="K193:O193" si="114">K194</f>
        <v>131250</v>
      </c>
      <c r="L193" s="2">
        <f t="shared" si="114"/>
        <v>0</v>
      </c>
      <c r="M193" s="2">
        <f t="shared" si="114"/>
        <v>131250</v>
      </c>
      <c r="N193" s="2">
        <f t="shared" si="114"/>
        <v>-35763</v>
      </c>
      <c r="O193" s="2">
        <f t="shared" si="114"/>
        <v>95487</v>
      </c>
    </row>
    <row r="194" spans="1:15" s="6" customFormat="1" ht="24" customHeight="1" x14ac:dyDescent="0.25">
      <c r="A194" s="17"/>
      <c r="B194" s="298" t="s">
        <v>30</v>
      </c>
      <c r="C194" s="289"/>
      <c r="D194" s="289">
        <v>52</v>
      </c>
      <c r="E194" s="289">
        <v>0</v>
      </c>
      <c r="F194" s="289">
        <v>852</v>
      </c>
      <c r="G194" s="20" t="s">
        <v>0</v>
      </c>
      <c r="H194" s="20" t="s">
        <v>1</v>
      </c>
      <c r="I194" s="20" t="s">
        <v>334</v>
      </c>
      <c r="J194" s="1" t="s">
        <v>31</v>
      </c>
      <c r="K194" s="2">
        <f>'6 Вед15'!J259</f>
        <v>131250</v>
      </c>
      <c r="L194" s="2">
        <f>'6 Вед15'!K259</f>
        <v>0</v>
      </c>
      <c r="M194" s="2">
        <f>'6 Вед15'!L259</f>
        <v>131250</v>
      </c>
      <c r="N194" s="2">
        <f>'6 Вед15'!M259</f>
        <v>-35763</v>
      </c>
      <c r="O194" s="2">
        <f>'6 Вед15'!N259</f>
        <v>95487</v>
      </c>
    </row>
    <row r="195" spans="1:15" s="15" customFormat="1" ht="52.5" customHeight="1" x14ac:dyDescent="0.25">
      <c r="A195" s="595" t="s">
        <v>845</v>
      </c>
      <c r="B195" s="595"/>
      <c r="C195" s="297"/>
      <c r="D195" s="289">
        <v>52</v>
      </c>
      <c r="E195" s="289">
        <v>0</v>
      </c>
      <c r="F195" s="289">
        <v>852</v>
      </c>
      <c r="G195" s="1" t="s">
        <v>37</v>
      </c>
      <c r="H195" s="1" t="s">
        <v>74</v>
      </c>
      <c r="I195" s="1" t="s">
        <v>358</v>
      </c>
      <c r="J195" s="1"/>
      <c r="K195" s="2">
        <f t="shared" ref="K195:O196" si="115">K196</f>
        <v>66777336</v>
      </c>
      <c r="L195" s="2">
        <f t="shared" si="115"/>
        <v>0</v>
      </c>
      <c r="M195" s="2">
        <f t="shared" si="115"/>
        <v>66777336</v>
      </c>
      <c r="N195" s="2">
        <f t="shared" si="115"/>
        <v>0</v>
      </c>
      <c r="O195" s="2">
        <f t="shared" si="115"/>
        <v>66777336</v>
      </c>
    </row>
    <row r="196" spans="1:15" s="15" customFormat="1" ht="25.5" customHeight="1" x14ac:dyDescent="0.25">
      <c r="A196" s="298"/>
      <c r="B196" s="298" t="s">
        <v>95</v>
      </c>
      <c r="C196" s="297"/>
      <c r="D196" s="289">
        <v>52</v>
      </c>
      <c r="E196" s="289">
        <v>0</v>
      </c>
      <c r="F196" s="289">
        <v>852</v>
      </c>
      <c r="G196" s="1" t="s">
        <v>37</v>
      </c>
      <c r="H196" s="1" t="s">
        <v>74</v>
      </c>
      <c r="I196" s="1" t="s">
        <v>358</v>
      </c>
      <c r="J196" s="1" t="s">
        <v>90</v>
      </c>
      <c r="K196" s="2">
        <f t="shared" si="115"/>
        <v>66777336</v>
      </c>
      <c r="L196" s="2">
        <f t="shared" si="115"/>
        <v>0</v>
      </c>
      <c r="M196" s="2">
        <f t="shared" si="115"/>
        <v>66777336</v>
      </c>
      <c r="N196" s="2">
        <f t="shared" si="115"/>
        <v>0</v>
      </c>
      <c r="O196" s="2">
        <f t="shared" si="115"/>
        <v>66777336</v>
      </c>
    </row>
    <row r="197" spans="1:15" s="15" customFormat="1" ht="35.25" customHeight="1" x14ac:dyDescent="0.25">
      <c r="A197" s="298"/>
      <c r="B197" s="298" t="s">
        <v>91</v>
      </c>
      <c r="C197" s="295"/>
      <c r="D197" s="289">
        <v>52</v>
      </c>
      <c r="E197" s="289">
        <v>0</v>
      </c>
      <c r="F197" s="289">
        <v>852</v>
      </c>
      <c r="G197" s="1" t="s">
        <v>37</v>
      </c>
      <c r="H197" s="1" t="s">
        <v>74</v>
      </c>
      <c r="I197" s="1" t="s">
        <v>358</v>
      </c>
      <c r="J197" s="1" t="s">
        <v>92</v>
      </c>
      <c r="K197" s="2">
        <f>'6 Вед15'!J204</f>
        <v>66777336</v>
      </c>
      <c r="L197" s="2">
        <f>'6 Вед15'!K204</f>
        <v>0</v>
      </c>
      <c r="M197" s="2">
        <f>'6 Вед15'!L204</f>
        <v>66777336</v>
      </c>
      <c r="N197" s="2">
        <f>'6 Вед15'!M204</f>
        <v>0</v>
      </c>
      <c r="O197" s="2">
        <f>'6 Вед15'!N204</f>
        <v>66777336</v>
      </c>
    </row>
    <row r="198" spans="1:15" s="15" customFormat="1" ht="25.5" customHeight="1" x14ac:dyDescent="0.25">
      <c r="A198" s="595" t="s">
        <v>844</v>
      </c>
      <c r="B198" s="595"/>
      <c r="C198" s="297"/>
      <c r="D198" s="289">
        <v>52</v>
      </c>
      <c r="E198" s="289">
        <v>0</v>
      </c>
      <c r="F198" s="289">
        <v>852</v>
      </c>
      <c r="G198" s="1" t="s">
        <v>37</v>
      </c>
      <c r="H198" s="1" t="s">
        <v>18</v>
      </c>
      <c r="I198" s="1" t="s">
        <v>353</v>
      </c>
      <c r="J198" s="1"/>
      <c r="K198" s="2">
        <f t="shared" ref="K198:O202" si="116">K199</f>
        <v>21495027</v>
      </c>
      <c r="L198" s="2">
        <f t="shared" si="116"/>
        <v>0</v>
      </c>
      <c r="M198" s="2">
        <f t="shared" si="116"/>
        <v>21495027</v>
      </c>
      <c r="N198" s="2">
        <f t="shared" si="116"/>
        <v>0</v>
      </c>
      <c r="O198" s="2">
        <f t="shared" si="116"/>
        <v>21495027</v>
      </c>
    </row>
    <row r="199" spans="1:15" s="15" customFormat="1" ht="24" x14ac:dyDescent="0.25">
      <c r="A199" s="297"/>
      <c r="B199" s="298" t="s">
        <v>95</v>
      </c>
      <c r="C199" s="297"/>
      <c r="D199" s="289">
        <v>52</v>
      </c>
      <c r="E199" s="289">
        <v>0</v>
      </c>
      <c r="F199" s="289">
        <v>852</v>
      </c>
      <c r="G199" s="1" t="s">
        <v>37</v>
      </c>
      <c r="H199" s="1" t="s">
        <v>18</v>
      </c>
      <c r="I199" s="1" t="s">
        <v>353</v>
      </c>
      <c r="J199" s="1" t="s">
        <v>90</v>
      </c>
      <c r="K199" s="2">
        <f t="shared" si="116"/>
        <v>21495027</v>
      </c>
      <c r="L199" s="2">
        <f t="shared" si="116"/>
        <v>0</v>
      </c>
      <c r="M199" s="2">
        <f t="shared" si="116"/>
        <v>21495027</v>
      </c>
      <c r="N199" s="2">
        <f t="shared" si="116"/>
        <v>0</v>
      </c>
      <c r="O199" s="2">
        <f t="shared" si="116"/>
        <v>21495027</v>
      </c>
    </row>
    <row r="200" spans="1:15" s="15" customFormat="1" ht="48" x14ac:dyDescent="0.25">
      <c r="A200" s="297"/>
      <c r="B200" s="298" t="s">
        <v>91</v>
      </c>
      <c r="C200" s="297"/>
      <c r="D200" s="289">
        <v>52</v>
      </c>
      <c r="E200" s="289">
        <v>0</v>
      </c>
      <c r="F200" s="289">
        <v>852</v>
      </c>
      <c r="G200" s="1" t="s">
        <v>37</v>
      </c>
      <c r="H200" s="1" t="s">
        <v>18</v>
      </c>
      <c r="I200" s="1" t="s">
        <v>353</v>
      </c>
      <c r="J200" s="1" t="s">
        <v>92</v>
      </c>
      <c r="K200" s="2">
        <f>'6 Вед15'!J188</f>
        <v>21495027</v>
      </c>
      <c r="L200" s="2">
        <f>'6 Вед15'!K188</f>
        <v>0</v>
      </c>
      <c r="M200" s="2">
        <f>'6 Вед15'!L188</f>
        <v>21495027</v>
      </c>
      <c r="N200" s="2">
        <f>'6 Вед15'!M188</f>
        <v>0</v>
      </c>
      <c r="O200" s="2">
        <f>'6 Вед15'!N188</f>
        <v>21495027</v>
      </c>
    </row>
    <row r="201" spans="1:15" s="15" customFormat="1" x14ac:dyDescent="0.25">
      <c r="A201" s="552" t="s">
        <v>807</v>
      </c>
      <c r="B201" s="553"/>
      <c r="C201" s="428"/>
      <c r="D201" s="289">
        <v>52</v>
      </c>
      <c r="E201" s="289">
        <v>0</v>
      </c>
      <c r="F201" s="289">
        <v>852</v>
      </c>
      <c r="G201" s="1" t="s">
        <v>37</v>
      </c>
      <c r="H201" s="1" t="s">
        <v>18</v>
      </c>
      <c r="I201" s="1" t="s">
        <v>809</v>
      </c>
      <c r="J201" s="1"/>
      <c r="K201" s="2">
        <f t="shared" si="116"/>
        <v>0</v>
      </c>
      <c r="L201" s="2">
        <f t="shared" si="116"/>
        <v>0</v>
      </c>
      <c r="M201" s="2">
        <f t="shared" si="116"/>
        <v>0</v>
      </c>
      <c r="N201" s="2">
        <f t="shared" si="116"/>
        <v>808050</v>
      </c>
      <c r="O201" s="2">
        <f t="shared" si="116"/>
        <v>808050</v>
      </c>
    </row>
    <row r="202" spans="1:15" s="15" customFormat="1" ht="24" x14ac:dyDescent="0.25">
      <c r="A202" s="426"/>
      <c r="B202" s="426" t="s">
        <v>95</v>
      </c>
      <c r="C202" s="428"/>
      <c r="D202" s="289">
        <v>52</v>
      </c>
      <c r="E202" s="289">
        <v>0</v>
      </c>
      <c r="F202" s="289">
        <v>852</v>
      </c>
      <c r="G202" s="1" t="s">
        <v>37</v>
      </c>
      <c r="H202" s="1" t="s">
        <v>18</v>
      </c>
      <c r="I202" s="1" t="s">
        <v>809</v>
      </c>
      <c r="J202" s="1" t="s">
        <v>90</v>
      </c>
      <c r="K202" s="2">
        <f t="shared" si="116"/>
        <v>0</v>
      </c>
      <c r="L202" s="2">
        <f t="shared" si="116"/>
        <v>0</v>
      </c>
      <c r="M202" s="2">
        <f t="shared" si="116"/>
        <v>0</v>
      </c>
      <c r="N202" s="2">
        <f t="shared" si="116"/>
        <v>808050</v>
      </c>
      <c r="O202" s="2">
        <f t="shared" si="116"/>
        <v>808050</v>
      </c>
    </row>
    <row r="203" spans="1:15" s="15" customFormat="1" x14ac:dyDescent="0.25">
      <c r="A203" s="426"/>
      <c r="B203" s="19" t="s">
        <v>130</v>
      </c>
      <c r="C203" s="428"/>
      <c r="D203" s="289">
        <v>52</v>
      </c>
      <c r="E203" s="289">
        <v>0</v>
      </c>
      <c r="F203" s="289">
        <v>852</v>
      </c>
      <c r="G203" s="1" t="s">
        <v>37</v>
      </c>
      <c r="H203" s="1" t="s">
        <v>18</v>
      </c>
      <c r="I203" s="1" t="s">
        <v>809</v>
      </c>
      <c r="J203" s="1" t="s">
        <v>131</v>
      </c>
      <c r="K203" s="2"/>
      <c r="L203" s="2">
        <f>'6 Вед15'!K207</f>
        <v>0</v>
      </c>
      <c r="M203" s="2">
        <f>K203+L203</f>
        <v>0</v>
      </c>
      <c r="N203" s="2">
        <f>'6 Вед15'!M207</f>
        <v>808050</v>
      </c>
      <c r="O203" s="2">
        <f>M203+N203</f>
        <v>808050</v>
      </c>
    </row>
    <row r="204" spans="1:15" s="15" customFormat="1" ht="39" customHeight="1" x14ac:dyDescent="0.25">
      <c r="A204" s="595" t="s">
        <v>124</v>
      </c>
      <c r="B204" s="595"/>
      <c r="C204" s="297"/>
      <c r="D204" s="289">
        <v>52</v>
      </c>
      <c r="E204" s="289">
        <v>0</v>
      </c>
      <c r="F204" s="289">
        <v>852</v>
      </c>
      <c r="G204" s="1" t="s">
        <v>37</v>
      </c>
      <c r="H204" s="1" t="s">
        <v>18</v>
      </c>
      <c r="I204" s="1" t="s">
        <v>354</v>
      </c>
      <c r="J204" s="1"/>
      <c r="K204" s="2">
        <f t="shared" ref="K204:M204" si="117">K205+K207</f>
        <v>4690260</v>
      </c>
      <c r="L204" s="2">
        <f t="shared" si="117"/>
        <v>0</v>
      </c>
      <c r="M204" s="2">
        <f t="shared" si="117"/>
        <v>4690260</v>
      </c>
      <c r="N204" s="2">
        <f t="shared" ref="N204:O204" si="118">N205+N207</f>
        <v>0</v>
      </c>
      <c r="O204" s="2">
        <f t="shared" si="118"/>
        <v>4690260</v>
      </c>
    </row>
    <row r="205" spans="1:15" s="15" customFormat="1" ht="24" x14ac:dyDescent="0.25">
      <c r="A205" s="297"/>
      <c r="B205" s="298" t="s">
        <v>95</v>
      </c>
      <c r="C205" s="297"/>
      <c r="D205" s="289">
        <v>52</v>
      </c>
      <c r="E205" s="289">
        <v>0</v>
      </c>
      <c r="F205" s="289">
        <v>852</v>
      </c>
      <c r="G205" s="1" t="s">
        <v>37</v>
      </c>
      <c r="H205" s="1" t="s">
        <v>18</v>
      </c>
      <c r="I205" s="1" t="s">
        <v>354</v>
      </c>
      <c r="J205" s="1" t="s">
        <v>90</v>
      </c>
      <c r="K205" s="2">
        <f t="shared" ref="K205:O205" si="119">K206</f>
        <v>3291200</v>
      </c>
      <c r="L205" s="2">
        <f t="shared" si="119"/>
        <v>0</v>
      </c>
      <c r="M205" s="2">
        <f t="shared" si="119"/>
        <v>3291200</v>
      </c>
      <c r="N205" s="2">
        <f t="shared" si="119"/>
        <v>0</v>
      </c>
      <c r="O205" s="2">
        <f t="shared" si="119"/>
        <v>3291200</v>
      </c>
    </row>
    <row r="206" spans="1:15" s="15" customFormat="1" ht="48" x14ac:dyDescent="0.25">
      <c r="A206" s="297"/>
      <c r="B206" s="298" t="s">
        <v>91</v>
      </c>
      <c r="C206" s="297"/>
      <c r="D206" s="289">
        <v>52</v>
      </c>
      <c r="E206" s="289">
        <v>0</v>
      </c>
      <c r="F206" s="289">
        <v>852</v>
      </c>
      <c r="G206" s="1" t="s">
        <v>37</v>
      </c>
      <c r="H206" s="1" t="s">
        <v>18</v>
      </c>
      <c r="I206" s="1" t="s">
        <v>354</v>
      </c>
      <c r="J206" s="1" t="s">
        <v>92</v>
      </c>
      <c r="K206" s="2">
        <f>'6 Вед15'!J191+'6 Вед15'!J210</f>
        <v>3291200</v>
      </c>
      <c r="L206" s="2">
        <f>'6 Вед15'!K191+'6 Вед15'!K210</f>
        <v>0</v>
      </c>
      <c r="M206" s="2">
        <f>'6 Вед15'!L191+'6 Вед15'!L210</f>
        <v>3291200</v>
      </c>
      <c r="N206" s="2">
        <f>'6 Вед15'!M191+'6 Вед15'!M210</f>
        <v>0</v>
      </c>
      <c r="O206" s="2">
        <f>'6 Вед15'!N191+'6 Вед15'!N210</f>
        <v>3291200</v>
      </c>
    </row>
    <row r="207" spans="1:15" s="6" customFormat="1" x14ac:dyDescent="0.25">
      <c r="A207" s="17"/>
      <c r="B207" s="294" t="s">
        <v>108</v>
      </c>
      <c r="C207" s="294"/>
      <c r="D207" s="289">
        <v>52</v>
      </c>
      <c r="E207" s="289">
        <v>0</v>
      </c>
      <c r="F207" s="289">
        <v>852</v>
      </c>
      <c r="G207" s="1" t="s">
        <v>0</v>
      </c>
      <c r="H207" s="1" t="s">
        <v>7</v>
      </c>
      <c r="I207" s="1" t="s">
        <v>354</v>
      </c>
      <c r="J207" s="1" t="s">
        <v>109</v>
      </c>
      <c r="K207" s="2">
        <f t="shared" ref="K207:O207" si="120">K208</f>
        <v>1399060</v>
      </c>
      <c r="L207" s="2">
        <f t="shared" si="120"/>
        <v>0</v>
      </c>
      <c r="M207" s="2">
        <f t="shared" si="120"/>
        <v>1399060</v>
      </c>
      <c r="N207" s="2">
        <f t="shared" si="120"/>
        <v>0</v>
      </c>
      <c r="O207" s="2">
        <f t="shared" si="120"/>
        <v>1399060</v>
      </c>
    </row>
    <row r="208" spans="1:15" s="15" customFormat="1" ht="24" customHeight="1" x14ac:dyDescent="0.25">
      <c r="A208" s="298"/>
      <c r="B208" s="298" t="s">
        <v>146</v>
      </c>
      <c r="C208" s="297"/>
      <c r="D208" s="289">
        <v>52</v>
      </c>
      <c r="E208" s="289">
        <v>0</v>
      </c>
      <c r="F208" s="289">
        <v>852</v>
      </c>
      <c r="G208" s="1" t="s">
        <v>37</v>
      </c>
      <c r="H208" s="1" t="s">
        <v>58</v>
      </c>
      <c r="I208" s="1" t="s">
        <v>354</v>
      </c>
      <c r="J208" s="1" t="s">
        <v>110</v>
      </c>
      <c r="K208" s="2">
        <f>'6 Вед15'!J236</f>
        <v>1399060</v>
      </c>
      <c r="L208" s="2">
        <f>'6 Вед15'!K236</f>
        <v>0</v>
      </c>
      <c r="M208" s="2">
        <f>'6 Вед15'!L236</f>
        <v>1399060</v>
      </c>
      <c r="N208" s="2">
        <f>'6 Вед15'!M236</f>
        <v>0</v>
      </c>
      <c r="O208" s="2">
        <f>'6 Вед15'!N236</f>
        <v>1399060</v>
      </c>
    </row>
    <row r="209" spans="1:15" s="6" customFormat="1" ht="24.75" customHeight="1" x14ac:dyDescent="0.25">
      <c r="A209" s="595" t="s">
        <v>599</v>
      </c>
      <c r="B209" s="595"/>
      <c r="C209" s="297"/>
      <c r="D209" s="289">
        <v>52</v>
      </c>
      <c r="E209" s="289">
        <v>0</v>
      </c>
      <c r="F209" s="289">
        <v>852</v>
      </c>
      <c r="G209" s="1" t="s">
        <v>0</v>
      </c>
      <c r="H209" s="1" t="s">
        <v>7</v>
      </c>
      <c r="I209" s="1" t="s">
        <v>363</v>
      </c>
      <c r="J209" s="12"/>
      <c r="K209" s="2">
        <f t="shared" ref="K209:O210" si="121">K210</f>
        <v>836736</v>
      </c>
      <c r="L209" s="2">
        <f t="shared" si="121"/>
        <v>0</v>
      </c>
      <c r="M209" s="2">
        <f t="shared" si="121"/>
        <v>836736</v>
      </c>
      <c r="N209" s="2">
        <f t="shared" si="121"/>
        <v>249959</v>
      </c>
      <c r="O209" s="2">
        <f t="shared" si="121"/>
        <v>1086695</v>
      </c>
    </row>
    <row r="210" spans="1:15" s="6" customFormat="1" x14ac:dyDescent="0.25">
      <c r="A210" s="17"/>
      <c r="B210" s="294" t="s">
        <v>108</v>
      </c>
      <c r="C210" s="294"/>
      <c r="D210" s="289">
        <v>52</v>
      </c>
      <c r="E210" s="289">
        <v>0</v>
      </c>
      <c r="F210" s="289">
        <v>852</v>
      </c>
      <c r="G210" s="1" t="s">
        <v>0</v>
      </c>
      <c r="H210" s="1" t="s">
        <v>7</v>
      </c>
      <c r="I210" s="1" t="s">
        <v>363</v>
      </c>
      <c r="J210" s="1" t="s">
        <v>109</v>
      </c>
      <c r="K210" s="2">
        <f t="shared" si="121"/>
        <v>836736</v>
      </c>
      <c r="L210" s="2">
        <f t="shared" si="121"/>
        <v>0</v>
      </c>
      <c r="M210" s="2">
        <f t="shared" si="121"/>
        <v>836736</v>
      </c>
      <c r="N210" s="2">
        <f t="shared" si="121"/>
        <v>249959</v>
      </c>
      <c r="O210" s="2">
        <f t="shared" si="121"/>
        <v>1086695</v>
      </c>
    </row>
    <row r="211" spans="1:15" s="6" customFormat="1" ht="24" x14ac:dyDescent="0.25">
      <c r="A211" s="295"/>
      <c r="B211" s="294" t="s">
        <v>146</v>
      </c>
      <c r="C211" s="294"/>
      <c r="D211" s="289">
        <v>52</v>
      </c>
      <c r="E211" s="289">
        <v>0</v>
      </c>
      <c r="F211" s="289">
        <v>852</v>
      </c>
      <c r="G211" s="1" t="s">
        <v>0</v>
      </c>
      <c r="H211" s="1" t="s">
        <v>7</v>
      </c>
      <c r="I211" s="1" t="s">
        <v>363</v>
      </c>
      <c r="J211" s="1" t="s">
        <v>110</v>
      </c>
      <c r="K211" s="2">
        <f>'6 Вед15'!J245</f>
        <v>836736</v>
      </c>
      <c r="L211" s="2">
        <f>'6 Вед15'!K245</f>
        <v>0</v>
      </c>
      <c r="M211" s="2">
        <f>'6 Вед15'!L245</f>
        <v>836736</v>
      </c>
      <c r="N211" s="2">
        <f>'6 Вед15'!M245</f>
        <v>249959</v>
      </c>
      <c r="O211" s="2">
        <f>'6 Вед15'!N245</f>
        <v>1086695</v>
      </c>
    </row>
    <row r="212" spans="1:15" s="6" customFormat="1" ht="25.5" customHeight="1" x14ac:dyDescent="0.25">
      <c r="A212" s="595" t="s">
        <v>147</v>
      </c>
      <c r="B212" s="595"/>
      <c r="C212" s="297"/>
      <c r="D212" s="289">
        <v>52</v>
      </c>
      <c r="E212" s="289">
        <v>0</v>
      </c>
      <c r="F212" s="289">
        <v>852</v>
      </c>
      <c r="G212" s="1" t="s">
        <v>0</v>
      </c>
      <c r="H212" s="1" t="s">
        <v>4</v>
      </c>
      <c r="I212" s="1" t="s">
        <v>361</v>
      </c>
      <c r="J212" s="12"/>
      <c r="K212" s="2">
        <f t="shared" ref="K212:O213" si="122">K213</f>
        <v>93000</v>
      </c>
      <c r="L212" s="2">
        <f t="shared" si="122"/>
        <v>0</v>
      </c>
      <c r="M212" s="2">
        <f t="shared" si="122"/>
        <v>93000</v>
      </c>
      <c r="N212" s="2">
        <f t="shared" si="122"/>
        <v>0</v>
      </c>
      <c r="O212" s="2">
        <f t="shared" si="122"/>
        <v>93000</v>
      </c>
    </row>
    <row r="213" spans="1:15" s="6" customFormat="1" x14ac:dyDescent="0.25">
      <c r="A213" s="17"/>
      <c r="B213" s="294" t="s">
        <v>108</v>
      </c>
      <c r="C213" s="294"/>
      <c r="D213" s="289">
        <v>52</v>
      </c>
      <c r="E213" s="289">
        <v>0</v>
      </c>
      <c r="F213" s="289">
        <v>852</v>
      </c>
      <c r="G213" s="1" t="s">
        <v>0</v>
      </c>
      <c r="H213" s="1" t="s">
        <v>4</v>
      </c>
      <c r="I213" s="1" t="s">
        <v>361</v>
      </c>
      <c r="J213" s="1" t="s">
        <v>109</v>
      </c>
      <c r="K213" s="2">
        <f t="shared" si="122"/>
        <v>93000</v>
      </c>
      <c r="L213" s="2">
        <f t="shared" si="122"/>
        <v>0</v>
      </c>
      <c r="M213" s="2">
        <f t="shared" si="122"/>
        <v>93000</v>
      </c>
      <c r="N213" s="2">
        <f t="shared" si="122"/>
        <v>0</v>
      </c>
      <c r="O213" s="2">
        <f t="shared" si="122"/>
        <v>93000</v>
      </c>
    </row>
    <row r="214" spans="1:15" s="6" customFormat="1" ht="24" x14ac:dyDescent="0.25">
      <c r="A214" s="295"/>
      <c r="B214" s="294" t="s">
        <v>146</v>
      </c>
      <c r="C214" s="294"/>
      <c r="D214" s="289">
        <v>52</v>
      </c>
      <c r="E214" s="289">
        <v>0</v>
      </c>
      <c r="F214" s="289">
        <v>852</v>
      </c>
      <c r="G214" s="1" t="s">
        <v>0</v>
      </c>
      <c r="H214" s="1" t="s">
        <v>4</v>
      </c>
      <c r="I214" s="1" t="s">
        <v>361</v>
      </c>
      <c r="J214" s="1" t="s">
        <v>110</v>
      </c>
      <c r="K214" s="2">
        <f>'6 Вед15'!J241</f>
        <v>93000</v>
      </c>
      <c r="L214" s="2">
        <f>'6 Вед15'!K241</f>
        <v>0</v>
      </c>
      <c r="M214" s="2">
        <f>'6 Вед15'!L241</f>
        <v>93000</v>
      </c>
      <c r="N214" s="2">
        <f>'6 Вед15'!M241</f>
        <v>0</v>
      </c>
      <c r="O214" s="2">
        <f>'6 Вед15'!N241</f>
        <v>93000</v>
      </c>
    </row>
    <row r="215" spans="1:15" s="6" customFormat="1" ht="46.5" customHeight="1" x14ac:dyDescent="0.25">
      <c r="A215" s="591" t="s">
        <v>3</v>
      </c>
      <c r="B215" s="591"/>
      <c r="C215" s="294"/>
      <c r="D215" s="289">
        <v>52</v>
      </c>
      <c r="E215" s="289">
        <v>0</v>
      </c>
      <c r="F215" s="289">
        <v>852</v>
      </c>
      <c r="G215" s="1" t="s">
        <v>0</v>
      </c>
      <c r="H215" s="1" t="s">
        <v>7</v>
      </c>
      <c r="I215" s="1" t="s">
        <v>362</v>
      </c>
      <c r="J215" s="1"/>
      <c r="K215" s="2">
        <f t="shared" ref="K215:M215" si="123">K216+K218+K220+K222</f>
        <v>7634300</v>
      </c>
      <c r="L215" s="2">
        <f t="shared" si="123"/>
        <v>0</v>
      </c>
      <c r="M215" s="2">
        <f t="shared" si="123"/>
        <v>7634300</v>
      </c>
      <c r="N215" s="2">
        <f t="shared" ref="N215:O215" si="124">N216+N218+N220+N222</f>
        <v>-46060</v>
      </c>
      <c r="O215" s="2">
        <f t="shared" si="124"/>
        <v>7588240</v>
      </c>
    </row>
    <row r="216" spans="1:15" s="6" customFormat="1" ht="35.25" customHeight="1" x14ac:dyDescent="0.25">
      <c r="A216" s="295"/>
      <c r="B216" s="294" t="s">
        <v>22</v>
      </c>
      <c r="C216" s="295"/>
      <c r="D216" s="289">
        <v>52</v>
      </c>
      <c r="E216" s="289">
        <v>0</v>
      </c>
      <c r="F216" s="289">
        <v>852</v>
      </c>
      <c r="G216" s="20" t="s">
        <v>0</v>
      </c>
      <c r="H216" s="20" t="s">
        <v>1</v>
      </c>
      <c r="I216" s="20" t="s">
        <v>362</v>
      </c>
      <c r="J216" s="1" t="s">
        <v>24</v>
      </c>
      <c r="K216" s="2">
        <f t="shared" ref="K216:O216" si="125">K217</f>
        <v>420900</v>
      </c>
      <c r="L216" s="2">
        <f t="shared" si="125"/>
        <v>0</v>
      </c>
      <c r="M216" s="2">
        <f t="shared" si="125"/>
        <v>420900</v>
      </c>
      <c r="N216" s="2">
        <f t="shared" si="125"/>
        <v>0</v>
      </c>
      <c r="O216" s="2">
        <f t="shared" si="125"/>
        <v>420900</v>
      </c>
    </row>
    <row r="217" spans="1:15" s="6" customFormat="1" ht="15" customHeight="1" x14ac:dyDescent="0.25">
      <c r="A217" s="17"/>
      <c r="B217" s="294" t="s">
        <v>25</v>
      </c>
      <c r="C217" s="294"/>
      <c r="D217" s="289">
        <v>52</v>
      </c>
      <c r="E217" s="289">
        <v>0</v>
      </c>
      <c r="F217" s="289">
        <v>852</v>
      </c>
      <c r="G217" s="20" t="s">
        <v>0</v>
      </c>
      <c r="H217" s="20" t="s">
        <v>1</v>
      </c>
      <c r="I217" s="20" t="s">
        <v>362</v>
      </c>
      <c r="J217" s="1" t="s">
        <v>26</v>
      </c>
      <c r="K217" s="2">
        <f>'6 Вед15'!J262</f>
        <v>420900</v>
      </c>
      <c r="L217" s="2">
        <f>'6 Вед15'!K262</f>
        <v>0</v>
      </c>
      <c r="M217" s="2">
        <f>'6 Вед15'!L262</f>
        <v>420900</v>
      </c>
      <c r="N217" s="2">
        <f>'6 Вед15'!M262</f>
        <v>0</v>
      </c>
      <c r="O217" s="2">
        <f>'6 Вед15'!N262</f>
        <v>420900</v>
      </c>
    </row>
    <row r="218" spans="1:15" s="6" customFormat="1" ht="15" customHeight="1" x14ac:dyDescent="0.25">
      <c r="A218" s="17"/>
      <c r="B218" s="298" t="s">
        <v>28</v>
      </c>
      <c r="C218" s="294"/>
      <c r="D218" s="289">
        <v>52</v>
      </c>
      <c r="E218" s="289">
        <v>0</v>
      </c>
      <c r="F218" s="289">
        <v>852</v>
      </c>
      <c r="G218" s="20" t="s">
        <v>0</v>
      </c>
      <c r="H218" s="20" t="s">
        <v>1</v>
      </c>
      <c r="I218" s="20" t="s">
        <v>362</v>
      </c>
      <c r="J218" s="1" t="s">
        <v>29</v>
      </c>
      <c r="K218" s="2">
        <f t="shared" ref="K218:O218" si="126">K219</f>
        <v>237100</v>
      </c>
      <c r="L218" s="2">
        <f t="shared" si="126"/>
        <v>0</v>
      </c>
      <c r="M218" s="2">
        <f t="shared" si="126"/>
        <v>237100</v>
      </c>
      <c r="N218" s="2">
        <f t="shared" si="126"/>
        <v>-46060</v>
      </c>
      <c r="O218" s="2">
        <f t="shared" si="126"/>
        <v>191040</v>
      </c>
    </row>
    <row r="219" spans="1:15" s="6" customFormat="1" ht="25.5" customHeight="1" x14ac:dyDescent="0.25">
      <c r="A219" s="17"/>
      <c r="B219" s="298" t="s">
        <v>30</v>
      </c>
      <c r="C219" s="295"/>
      <c r="D219" s="289">
        <v>52</v>
      </c>
      <c r="E219" s="289">
        <v>0</v>
      </c>
      <c r="F219" s="289">
        <v>852</v>
      </c>
      <c r="G219" s="20" t="s">
        <v>0</v>
      </c>
      <c r="H219" s="20" t="s">
        <v>1</v>
      </c>
      <c r="I219" s="20" t="s">
        <v>362</v>
      </c>
      <c r="J219" s="1" t="s">
        <v>31</v>
      </c>
      <c r="K219" s="2">
        <f>'6 Вед15'!J264</f>
        <v>237100</v>
      </c>
      <c r="L219" s="2">
        <f>'6 Вед15'!K264</f>
        <v>0</v>
      </c>
      <c r="M219" s="2">
        <f>'6 Вед15'!L264</f>
        <v>237100</v>
      </c>
      <c r="N219" s="2">
        <f>'6 Вед15'!M264</f>
        <v>-46060</v>
      </c>
      <c r="O219" s="2">
        <f>'6 Вед15'!N264</f>
        <v>191040</v>
      </c>
    </row>
    <row r="220" spans="1:15" s="6" customFormat="1" ht="15" customHeight="1" x14ac:dyDescent="0.25">
      <c r="A220" s="17"/>
      <c r="B220" s="298" t="s">
        <v>28</v>
      </c>
      <c r="C220" s="294"/>
      <c r="D220" s="289">
        <v>52</v>
      </c>
      <c r="E220" s="289">
        <v>0</v>
      </c>
      <c r="F220" s="289">
        <v>852</v>
      </c>
      <c r="G220" s="1" t="s">
        <v>149</v>
      </c>
      <c r="H220" s="1" t="s">
        <v>7</v>
      </c>
      <c r="I220" s="1" t="s">
        <v>362</v>
      </c>
      <c r="J220" s="1" t="s">
        <v>29</v>
      </c>
      <c r="K220" s="2">
        <f t="shared" ref="K220:O220" si="127">K221</f>
        <v>1795108</v>
      </c>
      <c r="L220" s="2">
        <f t="shared" si="127"/>
        <v>0</v>
      </c>
      <c r="M220" s="2">
        <f t="shared" si="127"/>
        <v>1795108</v>
      </c>
      <c r="N220" s="2">
        <f t="shared" si="127"/>
        <v>0</v>
      </c>
      <c r="O220" s="2">
        <f t="shared" si="127"/>
        <v>1795108</v>
      </c>
    </row>
    <row r="221" spans="1:15" s="6" customFormat="1" ht="24" x14ac:dyDescent="0.25">
      <c r="A221" s="17"/>
      <c r="B221" s="298" t="s">
        <v>30</v>
      </c>
      <c r="C221" s="295"/>
      <c r="D221" s="289">
        <v>52</v>
      </c>
      <c r="E221" s="289">
        <v>0</v>
      </c>
      <c r="F221" s="289">
        <v>852</v>
      </c>
      <c r="G221" s="1" t="s">
        <v>149</v>
      </c>
      <c r="H221" s="1" t="s">
        <v>7</v>
      </c>
      <c r="I221" s="1" t="s">
        <v>362</v>
      </c>
      <c r="J221" s="1" t="s">
        <v>31</v>
      </c>
      <c r="K221" s="2">
        <f>'6 Вед15'!J248</f>
        <v>1795108</v>
      </c>
      <c r="L221" s="2">
        <f>'6 Вед15'!K248</f>
        <v>0</v>
      </c>
      <c r="M221" s="2">
        <f>'6 Вед15'!L248</f>
        <v>1795108</v>
      </c>
      <c r="N221" s="2">
        <f>'6 Вед15'!M248</f>
        <v>0</v>
      </c>
      <c r="O221" s="2">
        <f>'6 Вед15'!N248</f>
        <v>1795108</v>
      </c>
    </row>
    <row r="222" spans="1:15" s="6" customFormat="1" x14ac:dyDescent="0.25">
      <c r="A222" s="301"/>
      <c r="B222" s="294" t="s">
        <v>108</v>
      </c>
      <c r="C222" s="294"/>
      <c r="D222" s="289">
        <v>52</v>
      </c>
      <c r="E222" s="289">
        <v>0</v>
      </c>
      <c r="F222" s="289">
        <v>852</v>
      </c>
      <c r="G222" s="1" t="s">
        <v>0</v>
      </c>
      <c r="H222" s="1" t="s">
        <v>7</v>
      </c>
      <c r="I222" s="1" t="s">
        <v>362</v>
      </c>
      <c r="J222" s="1" t="s">
        <v>109</v>
      </c>
      <c r="K222" s="2">
        <f t="shared" ref="K222:O222" si="128">K223</f>
        <v>5181192</v>
      </c>
      <c r="L222" s="2">
        <f t="shared" si="128"/>
        <v>0</v>
      </c>
      <c r="M222" s="2">
        <f t="shared" si="128"/>
        <v>5181192</v>
      </c>
      <c r="N222" s="2">
        <f t="shared" si="128"/>
        <v>0</v>
      </c>
      <c r="O222" s="2">
        <f t="shared" si="128"/>
        <v>5181192</v>
      </c>
    </row>
    <row r="223" spans="1:15" s="6" customFormat="1" ht="24" x14ac:dyDescent="0.25">
      <c r="A223" s="301"/>
      <c r="B223" s="294" t="s">
        <v>379</v>
      </c>
      <c r="C223" s="294"/>
      <c r="D223" s="289">
        <v>52</v>
      </c>
      <c r="E223" s="289">
        <v>0</v>
      </c>
      <c r="F223" s="289">
        <v>852</v>
      </c>
      <c r="G223" s="1" t="s">
        <v>0</v>
      </c>
      <c r="H223" s="1" t="s">
        <v>7</v>
      </c>
      <c r="I223" s="1" t="s">
        <v>362</v>
      </c>
      <c r="J223" s="1" t="s">
        <v>9</v>
      </c>
      <c r="K223" s="2">
        <f>'6 Вед15'!J250</f>
        <v>5181192</v>
      </c>
      <c r="L223" s="2">
        <f>'6 Вед15'!K250</f>
        <v>0</v>
      </c>
      <c r="M223" s="2">
        <f>'6 Вед15'!L250</f>
        <v>5181192</v>
      </c>
      <c r="N223" s="2">
        <f>'6 Вед15'!M250</f>
        <v>0</v>
      </c>
      <c r="O223" s="2">
        <f>'6 Вед15'!N250</f>
        <v>5181192</v>
      </c>
    </row>
    <row r="224" spans="1:15" s="6" customFormat="1" ht="12" customHeight="1" x14ac:dyDescent="0.25">
      <c r="A224" s="583" t="s">
        <v>128</v>
      </c>
      <c r="B224" s="583"/>
      <c r="C224" s="295"/>
      <c r="D224" s="289">
        <v>52</v>
      </c>
      <c r="E224" s="289">
        <v>0</v>
      </c>
      <c r="F224" s="289">
        <v>852</v>
      </c>
      <c r="G224" s="20" t="s">
        <v>37</v>
      </c>
      <c r="H224" s="1" t="s">
        <v>18</v>
      </c>
      <c r="I224" s="1" t="s">
        <v>343</v>
      </c>
      <c r="J224" s="1"/>
      <c r="K224" s="2">
        <f t="shared" ref="K224:O225" si="129">K225</f>
        <v>1110000</v>
      </c>
      <c r="L224" s="2">
        <f t="shared" si="129"/>
        <v>154200</v>
      </c>
      <c r="M224" s="2">
        <f t="shared" si="129"/>
        <v>1264200</v>
      </c>
      <c r="N224" s="2">
        <f t="shared" si="129"/>
        <v>49248</v>
      </c>
      <c r="O224" s="2">
        <f t="shared" si="129"/>
        <v>1313448</v>
      </c>
    </row>
    <row r="225" spans="1:15" s="6" customFormat="1" ht="23.25" customHeight="1" x14ac:dyDescent="0.25">
      <c r="A225" s="295"/>
      <c r="B225" s="298" t="s">
        <v>95</v>
      </c>
      <c r="C225" s="295"/>
      <c r="D225" s="289">
        <v>52</v>
      </c>
      <c r="E225" s="289">
        <v>0</v>
      </c>
      <c r="F225" s="289">
        <v>852</v>
      </c>
      <c r="G225" s="1" t="s">
        <v>37</v>
      </c>
      <c r="H225" s="1" t="s">
        <v>18</v>
      </c>
      <c r="I225" s="1" t="s">
        <v>343</v>
      </c>
      <c r="J225" s="1" t="s">
        <v>90</v>
      </c>
      <c r="K225" s="2">
        <f t="shared" si="129"/>
        <v>1110000</v>
      </c>
      <c r="L225" s="2">
        <f t="shared" si="129"/>
        <v>154200</v>
      </c>
      <c r="M225" s="2">
        <f t="shared" si="129"/>
        <v>1264200</v>
      </c>
      <c r="N225" s="2">
        <f t="shared" si="129"/>
        <v>49248</v>
      </c>
      <c r="O225" s="2">
        <f t="shared" si="129"/>
        <v>1313448</v>
      </c>
    </row>
    <row r="226" spans="1:15" s="6" customFormat="1" x14ac:dyDescent="0.25">
      <c r="A226" s="294"/>
      <c r="B226" s="294" t="s">
        <v>130</v>
      </c>
      <c r="C226" s="294"/>
      <c r="D226" s="289">
        <v>52</v>
      </c>
      <c r="E226" s="289">
        <v>0</v>
      </c>
      <c r="F226" s="289">
        <v>852</v>
      </c>
      <c r="G226" s="1" t="s">
        <v>37</v>
      </c>
      <c r="H226" s="1" t="s">
        <v>18</v>
      </c>
      <c r="I226" s="1" t="s">
        <v>343</v>
      </c>
      <c r="J226" s="1" t="s">
        <v>131</v>
      </c>
      <c r="K226" s="2">
        <f>'6 Вед15'!J213</f>
        <v>1110000</v>
      </c>
      <c r="L226" s="2">
        <f>'6 Вед15'!K213</f>
        <v>154200</v>
      </c>
      <c r="M226" s="2">
        <f>'6 Вед15'!L213</f>
        <v>1264200</v>
      </c>
      <c r="N226" s="2">
        <f>'6 Вед15'!M213</f>
        <v>49248</v>
      </c>
      <c r="O226" s="2">
        <f>'6 Вед15'!N213</f>
        <v>1313448</v>
      </c>
    </row>
    <row r="227" spans="1:15" s="6" customFormat="1" ht="24.75" customHeight="1" x14ac:dyDescent="0.25">
      <c r="A227" s="583" t="s">
        <v>132</v>
      </c>
      <c r="B227" s="583"/>
      <c r="C227" s="295"/>
      <c r="D227" s="289">
        <v>52</v>
      </c>
      <c r="E227" s="289">
        <v>0</v>
      </c>
      <c r="F227" s="289">
        <v>852</v>
      </c>
      <c r="G227" s="20" t="s">
        <v>37</v>
      </c>
      <c r="H227" s="20" t="s">
        <v>18</v>
      </c>
      <c r="I227" s="20" t="s">
        <v>359</v>
      </c>
      <c r="J227" s="1"/>
      <c r="K227" s="2">
        <f t="shared" ref="K227:O227" si="130">K228</f>
        <v>1038500</v>
      </c>
      <c r="L227" s="2">
        <f t="shared" si="130"/>
        <v>171280</v>
      </c>
      <c r="M227" s="2">
        <f t="shared" si="130"/>
        <v>1209780</v>
      </c>
      <c r="N227" s="2">
        <f t="shared" si="130"/>
        <v>0</v>
      </c>
      <c r="O227" s="2">
        <f t="shared" si="130"/>
        <v>1209780</v>
      </c>
    </row>
    <row r="228" spans="1:15" s="6" customFormat="1" ht="24" x14ac:dyDescent="0.25">
      <c r="A228" s="295"/>
      <c r="B228" s="298" t="s">
        <v>95</v>
      </c>
      <c r="C228" s="295"/>
      <c r="D228" s="289">
        <v>52</v>
      </c>
      <c r="E228" s="289">
        <v>0</v>
      </c>
      <c r="F228" s="289">
        <v>852</v>
      </c>
      <c r="G228" s="1" t="s">
        <v>37</v>
      </c>
      <c r="H228" s="1" t="s">
        <v>18</v>
      </c>
      <c r="I228" s="20" t="s">
        <v>359</v>
      </c>
      <c r="J228" s="1" t="s">
        <v>90</v>
      </c>
      <c r="K228" s="2">
        <f t="shared" ref="K228:O228" si="131">K229</f>
        <v>1038500</v>
      </c>
      <c r="L228" s="2">
        <f t="shared" si="131"/>
        <v>171280</v>
      </c>
      <c r="M228" s="2">
        <f t="shared" si="131"/>
        <v>1209780</v>
      </c>
      <c r="N228" s="2">
        <f t="shared" si="131"/>
        <v>0</v>
      </c>
      <c r="O228" s="2">
        <f t="shared" si="131"/>
        <v>1209780</v>
      </c>
    </row>
    <row r="229" spans="1:15" s="6" customFormat="1" x14ac:dyDescent="0.25">
      <c r="A229" s="294"/>
      <c r="B229" s="294" t="s">
        <v>130</v>
      </c>
      <c r="C229" s="294"/>
      <c r="D229" s="289">
        <v>52</v>
      </c>
      <c r="E229" s="289">
        <v>0</v>
      </c>
      <c r="F229" s="289">
        <v>852</v>
      </c>
      <c r="G229" s="1" t="s">
        <v>37</v>
      </c>
      <c r="H229" s="1" t="s">
        <v>18</v>
      </c>
      <c r="I229" s="20" t="s">
        <v>359</v>
      </c>
      <c r="J229" s="1" t="s">
        <v>131</v>
      </c>
      <c r="K229" s="2">
        <f>'6 Вед15'!J194+'6 Вед15'!J216</f>
        <v>1038500</v>
      </c>
      <c r="L229" s="2">
        <f>'6 Вед15'!K194+'6 Вед15'!K216</f>
        <v>171280</v>
      </c>
      <c r="M229" s="2">
        <f>'6 Вед15'!L194+'6 Вед15'!L216</f>
        <v>1209780</v>
      </c>
      <c r="N229" s="2">
        <f>'6 Вед15'!M194+'6 Вед15'!M216</f>
        <v>0</v>
      </c>
      <c r="O229" s="2">
        <f>'6 Вед15'!N194+'6 Вед15'!N216</f>
        <v>1209780</v>
      </c>
    </row>
    <row r="230" spans="1:15" s="6" customFormat="1" ht="24" customHeight="1" x14ac:dyDescent="0.25">
      <c r="A230" s="583" t="s">
        <v>142</v>
      </c>
      <c r="B230" s="583"/>
      <c r="C230" s="295"/>
      <c r="D230" s="289">
        <v>52</v>
      </c>
      <c r="E230" s="289">
        <v>0</v>
      </c>
      <c r="F230" s="289">
        <v>852</v>
      </c>
      <c r="G230" s="1" t="s">
        <v>37</v>
      </c>
      <c r="H230" s="1" t="s">
        <v>37</v>
      </c>
      <c r="I230" s="1" t="s">
        <v>558</v>
      </c>
      <c r="J230" s="1"/>
      <c r="K230" s="2">
        <f t="shared" ref="K230:O231" si="132">K231</f>
        <v>122200</v>
      </c>
      <c r="L230" s="2">
        <f t="shared" si="132"/>
        <v>0</v>
      </c>
      <c r="M230" s="2">
        <f t="shared" si="132"/>
        <v>122200</v>
      </c>
      <c r="N230" s="2">
        <f t="shared" si="132"/>
        <v>0</v>
      </c>
      <c r="O230" s="2">
        <f t="shared" si="132"/>
        <v>122200</v>
      </c>
    </row>
    <row r="231" spans="1:15" s="6" customFormat="1" ht="12.75" customHeight="1" x14ac:dyDescent="0.25">
      <c r="A231" s="17"/>
      <c r="B231" s="298" t="s">
        <v>28</v>
      </c>
      <c r="C231" s="294"/>
      <c r="D231" s="289">
        <v>52</v>
      </c>
      <c r="E231" s="289">
        <v>0</v>
      </c>
      <c r="F231" s="289">
        <v>852</v>
      </c>
      <c r="G231" s="1" t="s">
        <v>37</v>
      </c>
      <c r="H231" s="1" t="s">
        <v>37</v>
      </c>
      <c r="I231" s="1" t="s">
        <v>558</v>
      </c>
      <c r="J231" s="1" t="s">
        <v>29</v>
      </c>
      <c r="K231" s="2">
        <f t="shared" si="132"/>
        <v>122200</v>
      </c>
      <c r="L231" s="116">
        <f t="shared" si="132"/>
        <v>0</v>
      </c>
      <c r="M231" s="2">
        <f t="shared" si="132"/>
        <v>122200</v>
      </c>
      <c r="N231" s="116">
        <f t="shared" si="132"/>
        <v>0</v>
      </c>
      <c r="O231" s="2">
        <f t="shared" si="132"/>
        <v>122200</v>
      </c>
    </row>
    <row r="232" spans="1:15" s="6" customFormat="1" ht="26.25" customHeight="1" x14ac:dyDescent="0.25">
      <c r="A232" s="17"/>
      <c r="B232" s="298" t="s">
        <v>30</v>
      </c>
      <c r="C232" s="295"/>
      <c r="D232" s="289">
        <v>52</v>
      </c>
      <c r="E232" s="289">
        <v>0</v>
      </c>
      <c r="F232" s="289">
        <v>852</v>
      </c>
      <c r="G232" s="1" t="s">
        <v>37</v>
      </c>
      <c r="H232" s="1" t="s">
        <v>37</v>
      </c>
      <c r="I232" s="1" t="s">
        <v>558</v>
      </c>
      <c r="J232" s="1" t="s">
        <v>31</v>
      </c>
      <c r="K232" s="2">
        <f>'6 Вед15'!J220</f>
        <v>122200</v>
      </c>
      <c r="L232" s="116">
        <f>'6 Вед15'!K220</f>
        <v>0</v>
      </c>
      <c r="M232" s="2">
        <f>'6 Вед15'!L220</f>
        <v>122200</v>
      </c>
      <c r="N232" s="116">
        <f>'6 Вед15'!M220</f>
        <v>0</v>
      </c>
      <c r="O232" s="2">
        <f>'6 Вед15'!N220</f>
        <v>122200</v>
      </c>
    </row>
    <row r="233" spans="1:15" s="6" customFormat="1" ht="48.75" customHeight="1" x14ac:dyDescent="0.25">
      <c r="A233" s="595" t="s">
        <v>6</v>
      </c>
      <c r="B233" s="595"/>
      <c r="C233" s="294"/>
      <c r="D233" s="289">
        <v>52</v>
      </c>
      <c r="E233" s="289">
        <v>0</v>
      </c>
      <c r="F233" s="289">
        <v>852</v>
      </c>
      <c r="G233" s="1" t="s">
        <v>0</v>
      </c>
      <c r="H233" s="1" t="s">
        <v>7</v>
      </c>
      <c r="I233" s="1" t="s">
        <v>364</v>
      </c>
      <c r="J233" s="1"/>
      <c r="K233" s="2">
        <f t="shared" ref="K233:O234" si="133">K234</f>
        <v>158000</v>
      </c>
      <c r="L233" s="116">
        <f t="shared" si="133"/>
        <v>0</v>
      </c>
      <c r="M233" s="2">
        <f t="shared" si="133"/>
        <v>158000</v>
      </c>
      <c r="N233" s="116">
        <f t="shared" si="133"/>
        <v>0</v>
      </c>
      <c r="O233" s="2">
        <f t="shared" si="133"/>
        <v>158000</v>
      </c>
    </row>
    <row r="234" spans="1:15" s="6" customFormat="1" x14ac:dyDescent="0.25">
      <c r="A234" s="301"/>
      <c r="B234" s="294" t="s">
        <v>108</v>
      </c>
      <c r="C234" s="294"/>
      <c r="D234" s="289">
        <v>52</v>
      </c>
      <c r="E234" s="289">
        <v>0</v>
      </c>
      <c r="F234" s="289">
        <v>852</v>
      </c>
      <c r="G234" s="1" t="s">
        <v>0</v>
      </c>
      <c r="H234" s="1" t="s">
        <v>7</v>
      </c>
      <c r="I234" s="1" t="s">
        <v>364</v>
      </c>
      <c r="J234" s="1" t="s">
        <v>109</v>
      </c>
      <c r="K234" s="2">
        <f t="shared" si="133"/>
        <v>158000</v>
      </c>
      <c r="L234" s="116">
        <f t="shared" si="133"/>
        <v>0</v>
      </c>
      <c r="M234" s="2">
        <f t="shared" si="133"/>
        <v>158000</v>
      </c>
      <c r="N234" s="116">
        <f t="shared" si="133"/>
        <v>0</v>
      </c>
      <c r="O234" s="2">
        <f t="shared" si="133"/>
        <v>158000</v>
      </c>
    </row>
    <row r="235" spans="1:15" s="6" customFormat="1" ht="24" x14ac:dyDescent="0.25">
      <c r="A235" s="301"/>
      <c r="B235" s="294" t="s">
        <v>379</v>
      </c>
      <c r="C235" s="294"/>
      <c r="D235" s="289">
        <v>52</v>
      </c>
      <c r="E235" s="289">
        <v>0</v>
      </c>
      <c r="F235" s="289">
        <v>852</v>
      </c>
      <c r="G235" s="1" t="s">
        <v>0</v>
      </c>
      <c r="H235" s="1" t="s">
        <v>7</v>
      </c>
      <c r="I235" s="1" t="s">
        <v>364</v>
      </c>
      <c r="J235" s="1" t="s">
        <v>9</v>
      </c>
      <c r="K235" s="2">
        <f>'6 Вед15'!J253</f>
        <v>158000</v>
      </c>
      <c r="L235" s="116">
        <f>'6 Вед15'!K253</f>
        <v>0</v>
      </c>
      <c r="M235" s="2">
        <f>'6 Вед15'!L253</f>
        <v>158000</v>
      </c>
      <c r="N235" s="116">
        <f>'6 Вед15'!M253</f>
        <v>0</v>
      </c>
      <c r="O235" s="2">
        <f>'6 Вед15'!N253</f>
        <v>158000</v>
      </c>
    </row>
    <row r="236" spans="1:15" s="6" customFormat="1" ht="24.75" customHeight="1" x14ac:dyDescent="0.25">
      <c r="A236" s="604" t="s">
        <v>668</v>
      </c>
      <c r="B236" s="605"/>
      <c r="C236" s="299"/>
      <c r="D236" s="304">
        <v>53</v>
      </c>
      <c r="E236" s="289"/>
      <c r="F236" s="304"/>
      <c r="G236" s="39"/>
      <c r="H236" s="39"/>
      <c r="I236" s="39"/>
      <c r="J236" s="7"/>
      <c r="K236" s="9">
        <f t="shared" ref="K236:O236" si="134">K237</f>
        <v>19120517</v>
      </c>
      <c r="L236" s="275">
        <f t="shared" si="134"/>
        <v>0</v>
      </c>
      <c r="M236" s="9">
        <f t="shared" si="134"/>
        <v>19120517</v>
      </c>
      <c r="N236" s="275">
        <f t="shared" si="134"/>
        <v>-666401</v>
      </c>
      <c r="O236" s="9">
        <f t="shared" si="134"/>
        <v>18454116</v>
      </c>
    </row>
    <row r="237" spans="1:15" s="6" customFormat="1" x14ac:dyDescent="0.25">
      <c r="A237" s="550" t="s">
        <v>156</v>
      </c>
      <c r="B237" s="551"/>
      <c r="C237" s="18"/>
      <c r="D237" s="18">
        <v>53</v>
      </c>
      <c r="E237" s="18">
        <v>0</v>
      </c>
      <c r="F237" s="18">
        <v>853</v>
      </c>
      <c r="G237" s="1"/>
      <c r="H237" s="1"/>
      <c r="I237" s="1"/>
      <c r="J237" s="1"/>
      <c r="K237" s="321">
        <f>K238+K246+K249+K252+K257+K262+K269+K266+K272</f>
        <v>19120517</v>
      </c>
      <c r="L237" s="321">
        <f>L238+L246+L249+L252+L257+L262+L269+L266+L272</f>
        <v>0</v>
      </c>
      <c r="M237" s="321">
        <f>M238+M246+M249+M252+M257+M262+M269+M266+M272</f>
        <v>19120517</v>
      </c>
      <c r="N237" s="321">
        <f>N238+N246+N249+N252+N257+N262+N269+N266+N272</f>
        <v>-666401</v>
      </c>
      <c r="O237" s="321">
        <f>O238+O246+O249+O252+O257+O262+O269+O266+O272</f>
        <v>18454116</v>
      </c>
    </row>
    <row r="238" spans="1:15" s="6" customFormat="1" ht="27" customHeight="1" x14ac:dyDescent="0.25">
      <c r="A238" s="583" t="s">
        <v>27</v>
      </c>
      <c r="B238" s="583"/>
      <c r="C238" s="289"/>
      <c r="D238" s="289">
        <v>53</v>
      </c>
      <c r="E238" s="289">
        <v>0</v>
      </c>
      <c r="F238" s="74">
        <v>853</v>
      </c>
      <c r="G238" s="1" t="s">
        <v>23</v>
      </c>
      <c r="H238" s="1" t="s">
        <v>1</v>
      </c>
      <c r="I238" s="1" t="s">
        <v>562</v>
      </c>
      <c r="J238" s="1"/>
      <c r="K238" s="2">
        <f t="shared" ref="K238:M238" si="135">K239+K241+K243</f>
        <v>3735300</v>
      </c>
      <c r="L238" s="116">
        <f t="shared" si="135"/>
        <v>0</v>
      </c>
      <c r="M238" s="2">
        <f t="shared" si="135"/>
        <v>3735300</v>
      </c>
      <c r="N238" s="116">
        <f t="shared" ref="N238:O238" si="136">N239+N241+N243</f>
        <v>0</v>
      </c>
      <c r="O238" s="2">
        <f t="shared" si="136"/>
        <v>3735300</v>
      </c>
    </row>
    <row r="239" spans="1:15" s="6" customFormat="1" ht="36" customHeight="1" x14ac:dyDescent="0.25">
      <c r="A239" s="17"/>
      <c r="B239" s="294" t="s">
        <v>22</v>
      </c>
      <c r="C239" s="289"/>
      <c r="D239" s="289">
        <v>53</v>
      </c>
      <c r="E239" s="289">
        <v>0</v>
      </c>
      <c r="F239" s="74">
        <v>853</v>
      </c>
      <c r="G239" s="1" t="s">
        <v>18</v>
      </c>
      <c r="H239" s="1" t="s">
        <v>1</v>
      </c>
      <c r="I239" s="1" t="s">
        <v>562</v>
      </c>
      <c r="J239" s="1" t="s">
        <v>24</v>
      </c>
      <c r="K239" s="2">
        <f t="shared" ref="K239:O239" si="137">K240</f>
        <v>3406500</v>
      </c>
      <c r="L239" s="116">
        <f t="shared" si="137"/>
        <v>0</v>
      </c>
      <c r="M239" s="2">
        <f t="shared" si="137"/>
        <v>3406500</v>
      </c>
      <c r="N239" s="116">
        <f t="shared" si="137"/>
        <v>0</v>
      </c>
      <c r="O239" s="2">
        <f t="shared" si="137"/>
        <v>3406500</v>
      </c>
    </row>
    <row r="240" spans="1:15" s="6" customFormat="1" ht="15.75" customHeight="1" x14ac:dyDescent="0.25">
      <c r="A240" s="17"/>
      <c r="B240" s="294" t="s">
        <v>25</v>
      </c>
      <c r="C240" s="289"/>
      <c r="D240" s="289">
        <v>53</v>
      </c>
      <c r="E240" s="289">
        <v>0</v>
      </c>
      <c r="F240" s="74">
        <v>853</v>
      </c>
      <c r="G240" s="1" t="s">
        <v>18</v>
      </c>
      <c r="H240" s="1" t="s">
        <v>1</v>
      </c>
      <c r="I240" s="1" t="s">
        <v>562</v>
      </c>
      <c r="J240" s="1" t="s">
        <v>26</v>
      </c>
      <c r="K240" s="2">
        <f>'6 Вед15'!J270</f>
        <v>3406500</v>
      </c>
      <c r="L240" s="116">
        <f>'6 Вед15'!K270</f>
        <v>0</v>
      </c>
      <c r="M240" s="2">
        <f>'6 Вед15'!L270</f>
        <v>3406500</v>
      </c>
      <c r="N240" s="116">
        <f>'6 Вед15'!M270</f>
        <v>0</v>
      </c>
      <c r="O240" s="2">
        <f>'6 Вед15'!N270</f>
        <v>3406500</v>
      </c>
    </row>
    <row r="241" spans="1:15" s="6" customFormat="1" ht="15.75" customHeight="1" x14ac:dyDescent="0.25">
      <c r="A241" s="17"/>
      <c r="B241" s="298" t="s">
        <v>28</v>
      </c>
      <c r="C241" s="289"/>
      <c r="D241" s="289">
        <v>53</v>
      </c>
      <c r="E241" s="289">
        <v>0</v>
      </c>
      <c r="F241" s="74">
        <v>853</v>
      </c>
      <c r="G241" s="1" t="s">
        <v>18</v>
      </c>
      <c r="H241" s="1" t="s">
        <v>1</v>
      </c>
      <c r="I241" s="1" t="s">
        <v>562</v>
      </c>
      <c r="J241" s="1" t="s">
        <v>29</v>
      </c>
      <c r="K241" s="2">
        <f>'6 Вед15'!J271</f>
        <v>314800</v>
      </c>
      <c r="L241" s="116">
        <f>'6 Вед15'!K271</f>
        <v>0</v>
      </c>
      <c r="M241" s="2">
        <f>'6 Вед15'!L271</f>
        <v>314800</v>
      </c>
      <c r="N241" s="116">
        <f>'6 Вед15'!M271</f>
        <v>0</v>
      </c>
      <c r="O241" s="2">
        <f>'6 Вед15'!N271</f>
        <v>314800</v>
      </c>
    </row>
    <row r="242" spans="1:15" s="6" customFormat="1" ht="25.5" customHeight="1" x14ac:dyDescent="0.25">
      <c r="A242" s="17"/>
      <c r="B242" s="298" t="s">
        <v>30</v>
      </c>
      <c r="C242" s="289"/>
      <c r="D242" s="289">
        <v>53</v>
      </c>
      <c r="E242" s="289">
        <v>0</v>
      </c>
      <c r="F242" s="74">
        <v>853</v>
      </c>
      <c r="G242" s="1" t="s">
        <v>18</v>
      </c>
      <c r="H242" s="1" t="s">
        <v>1</v>
      </c>
      <c r="I242" s="1" t="s">
        <v>562</v>
      </c>
      <c r="J242" s="1" t="s">
        <v>31</v>
      </c>
      <c r="K242" s="2">
        <f>'6 Вед15'!J272</f>
        <v>314800</v>
      </c>
      <c r="L242" s="116">
        <f>'6 Вед15'!K272</f>
        <v>0</v>
      </c>
      <c r="M242" s="2">
        <f>'6 Вед15'!L272</f>
        <v>314800</v>
      </c>
      <c r="N242" s="116">
        <f>'6 Вед15'!M272</f>
        <v>0</v>
      </c>
      <c r="O242" s="2">
        <f>'6 Вед15'!N272</f>
        <v>314800</v>
      </c>
    </row>
    <row r="243" spans="1:15" s="6" customFormat="1" ht="14.25" customHeight="1" x14ac:dyDescent="0.25">
      <c r="A243" s="17"/>
      <c r="B243" s="298" t="s">
        <v>32</v>
      </c>
      <c r="C243" s="289"/>
      <c r="D243" s="289">
        <v>53</v>
      </c>
      <c r="E243" s="289">
        <v>0</v>
      </c>
      <c r="F243" s="74">
        <v>853</v>
      </c>
      <c r="G243" s="1" t="s">
        <v>18</v>
      </c>
      <c r="H243" s="1" t="s">
        <v>1</v>
      </c>
      <c r="I243" s="1" t="s">
        <v>562</v>
      </c>
      <c r="J243" s="1" t="s">
        <v>33</v>
      </c>
      <c r="K243" s="2">
        <f>K244+K245</f>
        <v>14000</v>
      </c>
      <c r="L243" s="2">
        <f t="shared" ref="L243:M243" si="138">L244+L245</f>
        <v>0</v>
      </c>
      <c r="M243" s="2">
        <f t="shared" si="138"/>
        <v>14000</v>
      </c>
      <c r="N243" s="2">
        <f t="shared" ref="N243:O243" si="139">N244+N245</f>
        <v>0</v>
      </c>
      <c r="O243" s="2">
        <f t="shared" si="139"/>
        <v>14000</v>
      </c>
    </row>
    <row r="244" spans="1:15" s="6" customFormat="1" ht="14.25" customHeight="1" x14ac:dyDescent="0.25">
      <c r="A244" s="17"/>
      <c r="B244" s="298" t="s">
        <v>34</v>
      </c>
      <c r="C244" s="289"/>
      <c r="D244" s="289">
        <v>53</v>
      </c>
      <c r="E244" s="289">
        <v>0</v>
      </c>
      <c r="F244" s="74">
        <v>853</v>
      </c>
      <c r="G244" s="1" t="s">
        <v>18</v>
      </c>
      <c r="H244" s="1" t="s">
        <v>1</v>
      </c>
      <c r="I244" s="1" t="s">
        <v>562</v>
      </c>
      <c r="J244" s="1" t="s">
        <v>35</v>
      </c>
      <c r="K244" s="2">
        <f>'6 Вед15'!J274</f>
        <v>13870</v>
      </c>
      <c r="L244" s="116">
        <f>'6 Вед15'!K274</f>
        <v>0</v>
      </c>
      <c r="M244" s="2">
        <f>K244+L244</f>
        <v>13870</v>
      </c>
      <c r="N244" s="116">
        <f>'6 Вед15'!M274</f>
        <v>0</v>
      </c>
      <c r="O244" s="2">
        <f>M244+N244</f>
        <v>13870</v>
      </c>
    </row>
    <row r="245" spans="1:15" s="6" customFormat="1" ht="12.75" customHeight="1" x14ac:dyDescent="0.25">
      <c r="A245" s="17"/>
      <c r="B245" s="309" t="s">
        <v>596</v>
      </c>
      <c r="C245" s="289"/>
      <c r="D245" s="289">
        <v>53</v>
      </c>
      <c r="E245" s="289">
        <v>0</v>
      </c>
      <c r="F245" s="74">
        <v>853</v>
      </c>
      <c r="G245" s="1" t="s">
        <v>18</v>
      </c>
      <c r="H245" s="1" t="s">
        <v>1</v>
      </c>
      <c r="I245" s="1" t="s">
        <v>562</v>
      </c>
      <c r="J245" s="1" t="s">
        <v>36</v>
      </c>
      <c r="K245" s="2">
        <f>'6 Вед15'!J275</f>
        <v>130</v>
      </c>
      <c r="L245" s="116"/>
      <c r="M245" s="2">
        <f>K245+L245</f>
        <v>130</v>
      </c>
      <c r="N245" s="116"/>
      <c r="O245" s="2">
        <f>M245+N245</f>
        <v>130</v>
      </c>
    </row>
    <row r="246" spans="1:15" s="6" customFormat="1" ht="47.25" customHeight="1" x14ac:dyDescent="0.25">
      <c r="A246" s="583" t="s">
        <v>46</v>
      </c>
      <c r="B246" s="583"/>
      <c r="C246" s="289"/>
      <c r="D246" s="289">
        <v>53</v>
      </c>
      <c r="E246" s="289">
        <v>0</v>
      </c>
      <c r="F246" s="74">
        <v>853</v>
      </c>
      <c r="G246" s="1" t="s">
        <v>18</v>
      </c>
      <c r="H246" s="1" t="s">
        <v>45</v>
      </c>
      <c r="I246" s="1" t="s">
        <v>334</v>
      </c>
      <c r="J246" s="1"/>
      <c r="K246" s="2">
        <f t="shared" ref="K246:O247" si="140">K247</f>
        <v>200</v>
      </c>
      <c r="L246" s="116">
        <f t="shared" si="140"/>
        <v>0</v>
      </c>
      <c r="M246" s="2">
        <f t="shared" si="140"/>
        <v>200</v>
      </c>
      <c r="N246" s="116">
        <f t="shared" si="140"/>
        <v>0</v>
      </c>
      <c r="O246" s="2">
        <f t="shared" si="140"/>
        <v>200</v>
      </c>
    </row>
    <row r="247" spans="1:15" s="6" customFormat="1" x14ac:dyDescent="0.25">
      <c r="A247" s="17"/>
      <c r="B247" s="294" t="s">
        <v>158</v>
      </c>
      <c r="C247" s="294"/>
      <c r="D247" s="289">
        <v>53</v>
      </c>
      <c r="E247" s="289">
        <v>0</v>
      </c>
      <c r="F247" s="74">
        <v>853</v>
      </c>
      <c r="G247" s="1" t="s">
        <v>18</v>
      </c>
      <c r="H247" s="20" t="s">
        <v>45</v>
      </c>
      <c r="I247" s="20" t="s">
        <v>334</v>
      </c>
      <c r="J247" s="1" t="s">
        <v>159</v>
      </c>
      <c r="K247" s="2">
        <f t="shared" si="140"/>
        <v>200</v>
      </c>
      <c r="L247" s="116">
        <f t="shared" si="140"/>
        <v>0</v>
      </c>
      <c r="M247" s="2">
        <f t="shared" si="140"/>
        <v>200</v>
      </c>
      <c r="N247" s="116">
        <f t="shared" si="140"/>
        <v>0</v>
      </c>
      <c r="O247" s="2">
        <f t="shared" si="140"/>
        <v>200</v>
      </c>
    </row>
    <row r="248" spans="1:15" s="6" customFormat="1" x14ac:dyDescent="0.25">
      <c r="A248" s="17"/>
      <c r="B248" s="294" t="s">
        <v>160</v>
      </c>
      <c r="C248" s="294"/>
      <c r="D248" s="289">
        <v>53</v>
      </c>
      <c r="E248" s="289">
        <v>0</v>
      </c>
      <c r="F248" s="74">
        <v>853</v>
      </c>
      <c r="G248" s="1" t="s">
        <v>18</v>
      </c>
      <c r="H248" s="20" t="s">
        <v>45</v>
      </c>
      <c r="I248" s="20" t="s">
        <v>334</v>
      </c>
      <c r="J248" s="1" t="s">
        <v>161</v>
      </c>
      <c r="K248" s="2">
        <f>'6 Вед15'!J279</f>
        <v>200</v>
      </c>
      <c r="L248" s="116">
        <f>'6 Вед15'!K279</f>
        <v>0</v>
      </c>
      <c r="M248" s="2">
        <f>'6 Вед15'!L279</f>
        <v>200</v>
      </c>
      <c r="N248" s="116">
        <f>'6 Вед15'!M279</f>
        <v>0</v>
      </c>
      <c r="O248" s="2">
        <f>'6 Вед15'!N279</f>
        <v>200</v>
      </c>
    </row>
    <row r="249" spans="1:15" s="6" customFormat="1" ht="58.5" customHeight="1" x14ac:dyDescent="0.25">
      <c r="A249" s="595" t="s">
        <v>88</v>
      </c>
      <c r="B249" s="595"/>
      <c r="C249" s="295"/>
      <c r="D249" s="289">
        <v>53</v>
      </c>
      <c r="E249" s="289">
        <v>0</v>
      </c>
      <c r="F249" s="289">
        <v>853</v>
      </c>
      <c r="G249" s="1" t="s">
        <v>86</v>
      </c>
      <c r="H249" s="1" t="s">
        <v>18</v>
      </c>
      <c r="I249" s="1" t="s">
        <v>344</v>
      </c>
      <c r="J249" s="1"/>
      <c r="K249" s="2">
        <f t="shared" ref="K249:O250" si="141">K250</f>
        <v>95400</v>
      </c>
      <c r="L249" s="116">
        <f t="shared" si="141"/>
        <v>0</v>
      </c>
      <c r="M249" s="2">
        <f t="shared" si="141"/>
        <v>95400</v>
      </c>
      <c r="N249" s="116">
        <f t="shared" si="141"/>
        <v>0</v>
      </c>
      <c r="O249" s="2">
        <f t="shared" si="141"/>
        <v>95400</v>
      </c>
    </row>
    <row r="250" spans="1:15" s="6" customFormat="1" x14ac:dyDescent="0.25">
      <c r="A250" s="17"/>
      <c r="B250" s="295" t="s">
        <v>158</v>
      </c>
      <c r="C250" s="294"/>
      <c r="D250" s="289">
        <v>53</v>
      </c>
      <c r="E250" s="289">
        <v>0</v>
      </c>
      <c r="F250" s="74">
        <v>853</v>
      </c>
      <c r="G250" s="1" t="s">
        <v>86</v>
      </c>
      <c r="H250" s="1" t="s">
        <v>7</v>
      </c>
      <c r="I250" s="1" t="s">
        <v>344</v>
      </c>
      <c r="J250" s="1" t="s">
        <v>159</v>
      </c>
      <c r="K250" s="2">
        <f t="shared" si="141"/>
        <v>95400</v>
      </c>
      <c r="L250" s="116">
        <f t="shared" si="141"/>
        <v>0</v>
      </c>
      <c r="M250" s="2">
        <f t="shared" si="141"/>
        <v>95400</v>
      </c>
      <c r="N250" s="116">
        <f t="shared" si="141"/>
        <v>0</v>
      </c>
      <c r="O250" s="2">
        <f t="shared" si="141"/>
        <v>95400</v>
      </c>
    </row>
    <row r="251" spans="1:15" s="6" customFormat="1" x14ac:dyDescent="0.25">
      <c r="A251" s="210"/>
      <c r="B251" s="295" t="s">
        <v>160</v>
      </c>
      <c r="C251" s="295"/>
      <c r="D251" s="289">
        <v>53</v>
      </c>
      <c r="E251" s="289">
        <v>0</v>
      </c>
      <c r="F251" s="74">
        <v>853</v>
      </c>
      <c r="G251" s="1" t="s">
        <v>86</v>
      </c>
      <c r="H251" s="1" t="s">
        <v>7</v>
      </c>
      <c r="I251" s="1" t="s">
        <v>344</v>
      </c>
      <c r="J251" s="1" t="s">
        <v>161</v>
      </c>
      <c r="K251" s="2">
        <f>'6 Вед15'!J307</f>
        <v>95400</v>
      </c>
      <c r="L251" s="2">
        <f>'6 Вед15'!K307</f>
        <v>0</v>
      </c>
      <c r="M251" s="2">
        <f>'6 Вед15'!L307</f>
        <v>95400</v>
      </c>
      <c r="N251" s="2">
        <f>'6 Вед15'!M307</f>
        <v>0</v>
      </c>
      <c r="O251" s="2">
        <f>'6 Вед15'!N307</f>
        <v>95400</v>
      </c>
    </row>
    <row r="252" spans="1:15" s="6" customFormat="1" ht="15" customHeight="1" x14ac:dyDescent="0.25">
      <c r="A252" s="595" t="s">
        <v>169</v>
      </c>
      <c r="B252" s="595"/>
      <c r="C252" s="297"/>
      <c r="D252" s="289">
        <v>53</v>
      </c>
      <c r="E252" s="289">
        <v>0</v>
      </c>
      <c r="F252" s="74">
        <v>853</v>
      </c>
      <c r="G252" s="20" t="s">
        <v>167</v>
      </c>
      <c r="H252" s="20" t="s">
        <v>18</v>
      </c>
      <c r="I252" s="20" t="s">
        <v>365</v>
      </c>
      <c r="J252" s="22"/>
      <c r="K252" s="44">
        <f t="shared" ref="K252:O253" si="142">K253</f>
        <v>5882000</v>
      </c>
      <c r="L252" s="278">
        <f t="shared" si="142"/>
        <v>0</v>
      </c>
      <c r="M252" s="44">
        <f t="shared" si="142"/>
        <v>5882000</v>
      </c>
      <c r="N252" s="278">
        <f t="shared" si="142"/>
        <v>0</v>
      </c>
      <c r="O252" s="44">
        <f t="shared" si="142"/>
        <v>5882000</v>
      </c>
    </row>
    <row r="253" spans="1:15" s="6" customFormat="1" x14ac:dyDescent="0.25">
      <c r="A253" s="17"/>
      <c r="B253" s="294" t="s">
        <v>158</v>
      </c>
      <c r="C253" s="294"/>
      <c r="D253" s="289">
        <v>53</v>
      </c>
      <c r="E253" s="289">
        <v>0</v>
      </c>
      <c r="F253" s="74">
        <v>853</v>
      </c>
      <c r="G253" s="1" t="s">
        <v>167</v>
      </c>
      <c r="H253" s="1" t="s">
        <v>18</v>
      </c>
      <c r="I253" s="1" t="s">
        <v>365</v>
      </c>
      <c r="J253" s="1" t="s">
        <v>159</v>
      </c>
      <c r="K253" s="2">
        <f>K254</f>
        <v>5882000</v>
      </c>
      <c r="L253" s="2">
        <f t="shared" si="142"/>
        <v>0</v>
      </c>
      <c r="M253" s="2">
        <f t="shared" si="142"/>
        <v>5882000</v>
      </c>
      <c r="N253" s="2">
        <f t="shared" si="142"/>
        <v>0</v>
      </c>
      <c r="O253" s="2">
        <f t="shared" si="142"/>
        <v>5882000</v>
      </c>
    </row>
    <row r="254" spans="1:15" s="6" customFormat="1" x14ac:dyDescent="0.25">
      <c r="A254" s="17"/>
      <c r="B254" s="383" t="s">
        <v>759</v>
      </c>
      <c r="C254" s="383"/>
      <c r="D254" s="289">
        <v>53</v>
      </c>
      <c r="E254" s="289">
        <v>0</v>
      </c>
      <c r="F254" s="74">
        <v>853</v>
      </c>
      <c r="G254" s="1" t="s">
        <v>167</v>
      </c>
      <c r="H254" s="1" t="s">
        <v>18</v>
      </c>
      <c r="I254" s="1" t="s">
        <v>365</v>
      </c>
      <c r="J254" s="1" t="s">
        <v>760</v>
      </c>
      <c r="K254" s="2">
        <f>K255+K256</f>
        <v>5882000</v>
      </c>
      <c r="L254" s="2">
        <f t="shared" ref="L254:M254" si="143">L255+L256</f>
        <v>0</v>
      </c>
      <c r="M254" s="2">
        <f t="shared" si="143"/>
        <v>5882000</v>
      </c>
      <c r="N254" s="2">
        <f t="shared" ref="N254:O254" si="144">N255+N256</f>
        <v>0</v>
      </c>
      <c r="O254" s="2">
        <f t="shared" si="144"/>
        <v>5882000</v>
      </c>
    </row>
    <row r="255" spans="1:15" s="6" customFormat="1" x14ac:dyDescent="0.25">
      <c r="A255" s="17"/>
      <c r="B255" s="383" t="s">
        <v>282</v>
      </c>
      <c r="C255" s="383"/>
      <c r="D255" s="289">
        <v>53</v>
      </c>
      <c r="E255" s="289">
        <v>0</v>
      </c>
      <c r="F255" s="74">
        <v>853</v>
      </c>
      <c r="G255" s="1" t="s">
        <v>167</v>
      </c>
      <c r="H255" s="1" t="s">
        <v>18</v>
      </c>
      <c r="I255" s="1" t="s">
        <v>365</v>
      </c>
      <c r="J255" s="1" t="s">
        <v>758</v>
      </c>
      <c r="K255" s="2"/>
      <c r="L255" s="2">
        <f>'6 Вед15'!K313</f>
        <v>5882000</v>
      </c>
      <c r="M255" s="2">
        <f>'6 Вед15'!L313</f>
        <v>5882000</v>
      </c>
      <c r="N255" s="2">
        <f>'6 Вед15'!M313</f>
        <v>0</v>
      </c>
      <c r="O255" s="2">
        <f>'6 Вед15'!N313</f>
        <v>5882000</v>
      </c>
    </row>
    <row r="256" spans="1:15" s="6" customFormat="1" x14ac:dyDescent="0.25">
      <c r="A256" s="17"/>
      <c r="B256" s="295" t="s">
        <v>171</v>
      </c>
      <c r="C256" s="295"/>
      <c r="D256" s="289">
        <v>53</v>
      </c>
      <c r="E256" s="289">
        <v>0</v>
      </c>
      <c r="F256" s="74">
        <v>853</v>
      </c>
      <c r="G256" s="1" t="s">
        <v>167</v>
      </c>
      <c r="H256" s="1" t="s">
        <v>18</v>
      </c>
      <c r="I256" s="1" t="s">
        <v>365</v>
      </c>
      <c r="J256" s="1" t="s">
        <v>172</v>
      </c>
      <c r="K256" s="2">
        <f>'6 Вед15'!J314</f>
        <v>5882000</v>
      </c>
      <c r="L256" s="2">
        <f>'6 Вед15'!K314</f>
        <v>-5882000</v>
      </c>
      <c r="M256" s="2">
        <f>'6 Вед15'!L314</f>
        <v>0</v>
      </c>
      <c r="N256" s="2">
        <f>'6 Вед15'!M314</f>
        <v>0</v>
      </c>
      <c r="O256" s="2">
        <f>'6 Вед15'!N314</f>
        <v>0</v>
      </c>
    </row>
    <row r="257" spans="1:15" s="6" customFormat="1" ht="15" customHeight="1" x14ac:dyDescent="0.25">
      <c r="A257" s="591" t="s">
        <v>174</v>
      </c>
      <c r="B257" s="591"/>
      <c r="C257" s="294"/>
      <c r="D257" s="289">
        <v>53</v>
      </c>
      <c r="E257" s="289">
        <v>0</v>
      </c>
      <c r="F257" s="74">
        <v>853</v>
      </c>
      <c r="G257" s="1" t="s">
        <v>167</v>
      </c>
      <c r="H257" s="1" t="s">
        <v>74</v>
      </c>
      <c r="I257" s="1" t="s">
        <v>366</v>
      </c>
      <c r="J257" s="1"/>
      <c r="K257" s="2">
        <f t="shared" ref="K257:O258" si="145">K258</f>
        <v>8607000</v>
      </c>
      <c r="L257" s="116">
        <f t="shared" si="145"/>
        <v>0</v>
      </c>
      <c r="M257" s="2">
        <f t="shared" si="145"/>
        <v>8607000</v>
      </c>
      <c r="N257" s="116">
        <f t="shared" si="145"/>
        <v>-860700</v>
      </c>
      <c r="O257" s="2">
        <f t="shared" si="145"/>
        <v>7746300</v>
      </c>
    </row>
    <row r="258" spans="1:15" s="6" customFormat="1" x14ac:dyDescent="0.25">
      <c r="A258" s="17"/>
      <c r="B258" s="294" t="s">
        <v>158</v>
      </c>
      <c r="C258" s="294"/>
      <c r="D258" s="289">
        <v>53</v>
      </c>
      <c r="E258" s="289">
        <v>0</v>
      </c>
      <c r="F258" s="74">
        <v>853</v>
      </c>
      <c r="G258" s="1" t="s">
        <v>167</v>
      </c>
      <c r="H258" s="1" t="s">
        <v>74</v>
      </c>
      <c r="I258" s="1" t="s">
        <v>366</v>
      </c>
      <c r="J258" s="1" t="s">
        <v>159</v>
      </c>
      <c r="K258" s="2">
        <f>K259</f>
        <v>8607000</v>
      </c>
      <c r="L258" s="2">
        <f t="shared" si="145"/>
        <v>0</v>
      </c>
      <c r="M258" s="2">
        <f t="shared" si="145"/>
        <v>8607000</v>
      </c>
      <c r="N258" s="2">
        <f t="shared" si="145"/>
        <v>-860700</v>
      </c>
      <c r="O258" s="2">
        <f t="shared" si="145"/>
        <v>7746300</v>
      </c>
    </row>
    <row r="259" spans="1:15" s="6" customFormat="1" x14ac:dyDescent="0.25">
      <c r="A259" s="17"/>
      <c r="B259" s="421" t="s">
        <v>759</v>
      </c>
      <c r="C259" s="421"/>
      <c r="D259" s="289">
        <v>53</v>
      </c>
      <c r="E259" s="289">
        <v>0</v>
      </c>
      <c r="F259" s="74">
        <v>853</v>
      </c>
      <c r="G259" s="1" t="s">
        <v>167</v>
      </c>
      <c r="H259" s="1" t="s">
        <v>18</v>
      </c>
      <c r="I259" s="1" t="s">
        <v>366</v>
      </c>
      <c r="J259" s="1" t="s">
        <v>760</v>
      </c>
      <c r="K259" s="2">
        <f>K260+K261</f>
        <v>8607000</v>
      </c>
      <c r="L259" s="2">
        <f t="shared" ref="L259:M259" si="146">L260+L261</f>
        <v>0</v>
      </c>
      <c r="M259" s="2">
        <f t="shared" si="146"/>
        <v>8607000</v>
      </c>
      <c r="N259" s="2">
        <f t="shared" ref="N259:O259" si="147">N260+N261</f>
        <v>-860700</v>
      </c>
      <c r="O259" s="2">
        <f t="shared" si="147"/>
        <v>7746300</v>
      </c>
    </row>
    <row r="260" spans="1:15" s="6" customFormat="1" x14ac:dyDescent="0.25">
      <c r="A260" s="17"/>
      <c r="B260" s="421" t="s">
        <v>173</v>
      </c>
      <c r="C260" s="421"/>
      <c r="D260" s="289">
        <v>53</v>
      </c>
      <c r="E260" s="289">
        <v>0</v>
      </c>
      <c r="F260" s="74">
        <v>853</v>
      </c>
      <c r="G260" s="1" t="s">
        <v>167</v>
      </c>
      <c r="H260" s="1" t="s">
        <v>74</v>
      </c>
      <c r="I260" s="1" t="s">
        <v>366</v>
      </c>
      <c r="J260" s="1" t="s">
        <v>793</v>
      </c>
      <c r="K260" s="2">
        <f>'6 Вед15'!J319</f>
        <v>0</v>
      </c>
      <c r="L260" s="2">
        <f>'6 Вед15'!K319</f>
        <v>8607000</v>
      </c>
      <c r="M260" s="2">
        <f>'6 Вед15'!L319</f>
        <v>8607000</v>
      </c>
      <c r="N260" s="2">
        <f>'6 Вед15'!M319</f>
        <v>-860700</v>
      </c>
      <c r="O260" s="2">
        <f>'6 Вед15'!N319</f>
        <v>7746300</v>
      </c>
    </row>
    <row r="261" spans="1:15" s="6" customFormat="1" hidden="1" x14ac:dyDescent="0.25">
      <c r="A261" s="17"/>
      <c r="B261" s="295" t="s">
        <v>171</v>
      </c>
      <c r="C261" s="295"/>
      <c r="D261" s="289">
        <v>53</v>
      </c>
      <c r="E261" s="289">
        <v>0</v>
      </c>
      <c r="F261" s="74">
        <v>853</v>
      </c>
      <c r="G261" s="1" t="s">
        <v>167</v>
      </c>
      <c r="H261" s="1" t="s">
        <v>74</v>
      </c>
      <c r="I261" s="1" t="s">
        <v>366</v>
      </c>
      <c r="J261" s="1" t="s">
        <v>172</v>
      </c>
      <c r="K261" s="2">
        <f>'6 Вед15'!J320</f>
        <v>8607000</v>
      </c>
      <c r="L261" s="2">
        <f>'6 Вед15'!K320</f>
        <v>-8607000</v>
      </c>
      <c r="M261" s="2">
        <f>'6 Вед15'!L320</f>
        <v>0</v>
      </c>
      <c r="N261" s="2">
        <f>'6 Вед15'!M320</f>
        <v>0</v>
      </c>
      <c r="O261" s="2">
        <f>'6 Вед15'!N320</f>
        <v>0</v>
      </c>
    </row>
    <row r="262" spans="1:15" s="6" customFormat="1" ht="12.75" x14ac:dyDescent="0.25">
      <c r="A262" s="568" t="s">
        <v>836</v>
      </c>
      <c r="B262" s="569"/>
      <c r="C262" s="472"/>
      <c r="D262" s="289">
        <v>53</v>
      </c>
      <c r="E262" s="289">
        <v>0</v>
      </c>
      <c r="F262" s="74">
        <v>853</v>
      </c>
      <c r="G262" s="1" t="s">
        <v>167</v>
      </c>
      <c r="H262" s="1" t="s">
        <v>74</v>
      </c>
      <c r="I262" s="1" t="s">
        <v>838</v>
      </c>
      <c r="J262" s="1"/>
      <c r="K262" s="2"/>
      <c r="L262" s="116"/>
      <c r="M262" s="2">
        <f t="shared" ref="M262:O262" si="148">M263</f>
        <v>0</v>
      </c>
      <c r="N262" s="2">
        <f t="shared" si="148"/>
        <v>200000</v>
      </c>
      <c r="O262" s="2">
        <f t="shared" si="148"/>
        <v>200000</v>
      </c>
    </row>
    <row r="263" spans="1:15" s="6" customFormat="1" ht="12.75" x14ac:dyDescent="0.25">
      <c r="A263" s="477"/>
      <c r="B263" s="482" t="s">
        <v>158</v>
      </c>
      <c r="C263" s="472"/>
      <c r="D263" s="289">
        <v>53</v>
      </c>
      <c r="E263" s="289">
        <v>0</v>
      </c>
      <c r="F263" s="74">
        <v>853</v>
      </c>
      <c r="G263" s="1" t="s">
        <v>167</v>
      </c>
      <c r="H263" s="1" t="s">
        <v>74</v>
      </c>
      <c r="I263" s="1" t="s">
        <v>838</v>
      </c>
      <c r="J263" s="1" t="s">
        <v>159</v>
      </c>
      <c r="K263" s="2"/>
      <c r="L263" s="116"/>
      <c r="M263" s="2">
        <f>M265</f>
        <v>0</v>
      </c>
      <c r="N263" s="2">
        <f>N265</f>
        <v>200000</v>
      </c>
      <c r="O263" s="2">
        <f>O265</f>
        <v>200000</v>
      </c>
    </row>
    <row r="264" spans="1:15" s="6" customFormat="1" x14ac:dyDescent="0.25">
      <c r="A264" s="17"/>
      <c r="B264" s="485" t="s">
        <v>759</v>
      </c>
      <c r="C264" s="485"/>
      <c r="D264" s="289">
        <v>53</v>
      </c>
      <c r="E264" s="289">
        <v>0</v>
      </c>
      <c r="F264" s="74">
        <v>853</v>
      </c>
      <c r="G264" s="1" t="s">
        <v>167</v>
      </c>
      <c r="H264" s="1" t="s">
        <v>18</v>
      </c>
      <c r="I264" s="1" t="s">
        <v>838</v>
      </c>
      <c r="J264" s="1" t="s">
        <v>760</v>
      </c>
      <c r="K264" s="2">
        <f>K265</f>
        <v>0</v>
      </c>
      <c r="L264" s="2">
        <f t="shared" ref="L264:O264" si="149">L265</f>
        <v>0</v>
      </c>
      <c r="M264" s="2">
        <f t="shared" si="149"/>
        <v>0</v>
      </c>
      <c r="N264" s="2">
        <f t="shared" si="149"/>
        <v>200000</v>
      </c>
      <c r="O264" s="2">
        <f t="shared" si="149"/>
        <v>200000</v>
      </c>
    </row>
    <row r="265" spans="1:15" s="6" customFormat="1" ht="12.75" x14ac:dyDescent="0.25">
      <c r="A265" s="477"/>
      <c r="B265" s="490" t="s">
        <v>173</v>
      </c>
      <c r="C265" s="472"/>
      <c r="D265" s="289">
        <v>53</v>
      </c>
      <c r="E265" s="289">
        <v>0</v>
      </c>
      <c r="F265" s="74">
        <v>853</v>
      </c>
      <c r="G265" s="1" t="s">
        <v>167</v>
      </c>
      <c r="H265" s="1" t="s">
        <v>74</v>
      </c>
      <c r="I265" s="1" t="s">
        <v>838</v>
      </c>
      <c r="J265" s="1" t="s">
        <v>793</v>
      </c>
      <c r="K265" s="2"/>
      <c r="L265" s="116"/>
      <c r="M265" s="2">
        <f>K265+L265</f>
        <v>0</v>
      </c>
      <c r="N265" s="116">
        <f>'6 Вед15'!M324</f>
        <v>200000</v>
      </c>
      <c r="O265" s="2">
        <f>M265+N265</f>
        <v>200000</v>
      </c>
    </row>
    <row r="266" spans="1:15" s="6" customFormat="1" ht="36.75" customHeight="1" x14ac:dyDescent="0.25">
      <c r="A266" s="552" t="s">
        <v>835</v>
      </c>
      <c r="B266" s="553"/>
      <c r="C266" s="472"/>
      <c r="D266" s="289">
        <v>53</v>
      </c>
      <c r="E266" s="289">
        <v>0</v>
      </c>
      <c r="F266" s="74">
        <v>853</v>
      </c>
      <c r="G266" s="20"/>
      <c r="H266" s="20"/>
      <c r="I266" s="20" t="s">
        <v>833</v>
      </c>
      <c r="J266" s="1"/>
      <c r="K266" s="2"/>
      <c r="L266" s="116"/>
      <c r="M266" s="2">
        <f t="shared" ref="M266:O267" si="150">M267</f>
        <v>0</v>
      </c>
      <c r="N266" s="2">
        <f t="shared" si="150"/>
        <v>300</v>
      </c>
      <c r="O266" s="2">
        <f t="shared" si="150"/>
        <v>300</v>
      </c>
    </row>
    <row r="267" spans="1:15" s="6" customFormat="1" x14ac:dyDescent="0.25">
      <c r="A267" s="472"/>
      <c r="B267" s="473" t="s">
        <v>158</v>
      </c>
      <c r="C267" s="472"/>
      <c r="D267" s="289">
        <v>53</v>
      </c>
      <c r="E267" s="289">
        <v>0</v>
      </c>
      <c r="F267" s="74">
        <v>853</v>
      </c>
      <c r="G267" s="20"/>
      <c r="H267" s="20"/>
      <c r="I267" s="20" t="s">
        <v>833</v>
      </c>
      <c r="J267" s="1" t="s">
        <v>159</v>
      </c>
      <c r="K267" s="2"/>
      <c r="L267" s="116"/>
      <c r="M267" s="2">
        <f t="shared" si="150"/>
        <v>0</v>
      </c>
      <c r="N267" s="2">
        <f t="shared" si="150"/>
        <v>300</v>
      </c>
      <c r="O267" s="2">
        <f t="shared" si="150"/>
        <v>300</v>
      </c>
    </row>
    <row r="268" spans="1:15" s="6" customFormat="1" x14ac:dyDescent="0.25">
      <c r="A268" s="472"/>
      <c r="B268" s="472" t="s">
        <v>171</v>
      </c>
      <c r="C268" s="472"/>
      <c r="D268" s="289">
        <v>53</v>
      </c>
      <c r="E268" s="289">
        <v>0</v>
      </c>
      <c r="F268" s="74">
        <v>853</v>
      </c>
      <c r="G268" s="20"/>
      <c r="H268" s="20"/>
      <c r="I268" s="20" t="s">
        <v>833</v>
      </c>
      <c r="J268" s="1" t="s">
        <v>172</v>
      </c>
      <c r="K268" s="2"/>
      <c r="L268" s="116"/>
      <c r="M268" s="2">
        <f>K268+L268</f>
        <v>0</v>
      </c>
      <c r="N268" s="116">
        <f>'6 Вед15'!M298</f>
        <v>300</v>
      </c>
      <c r="O268" s="2">
        <f>M268+N268</f>
        <v>300</v>
      </c>
    </row>
    <row r="269" spans="1:15" s="37" customFormat="1" ht="47.25" customHeight="1" x14ac:dyDescent="0.25">
      <c r="A269" s="595" t="s">
        <v>658</v>
      </c>
      <c r="B269" s="595"/>
      <c r="C269" s="36"/>
      <c r="D269" s="100">
        <v>53</v>
      </c>
      <c r="E269" s="100">
        <v>0</v>
      </c>
      <c r="F269" s="74">
        <v>853</v>
      </c>
      <c r="G269" s="132" t="s">
        <v>74</v>
      </c>
      <c r="H269" s="132" t="s">
        <v>4</v>
      </c>
      <c r="I269" s="132">
        <v>5118</v>
      </c>
      <c r="J269" s="308" t="s">
        <v>164</v>
      </c>
      <c r="K269" s="133">
        <f t="shared" ref="K269:O270" si="151">K270</f>
        <v>800617</v>
      </c>
      <c r="L269" s="279">
        <f t="shared" si="151"/>
        <v>0</v>
      </c>
      <c r="M269" s="133">
        <f t="shared" si="151"/>
        <v>800617</v>
      </c>
      <c r="N269" s="279">
        <f t="shared" si="151"/>
        <v>-74105</v>
      </c>
      <c r="O269" s="133">
        <f t="shared" si="151"/>
        <v>726512</v>
      </c>
    </row>
    <row r="270" spans="1:15" s="37" customFormat="1" x14ac:dyDescent="0.25">
      <c r="A270" s="36"/>
      <c r="B270" s="298" t="s">
        <v>158</v>
      </c>
      <c r="C270" s="36"/>
      <c r="D270" s="100">
        <v>53</v>
      </c>
      <c r="E270" s="100">
        <v>0</v>
      </c>
      <c r="F270" s="74">
        <v>853</v>
      </c>
      <c r="G270" s="132" t="s">
        <v>74</v>
      </c>
      <c r="H270" s="132" t="s">
        <v>4</v>
      </c>
      <c r="I270" s="132">
        <v>5118</v>
      </c>
      <c r="J270" s="132" t="s">
        <v>159</v>
      </c>
      <c r="K270" s="133">
        <f t="shared" si="151"/>
        <v>800617</v>
      </c>
      <c r="L270" s="279">
        <f t="shared" si="151"/>
        <v>0</v>
      </c>
      <c r="M270" s="133">
        <f t="shared" si="151"/>
        <v>800617</v>
      </c>
      <c r="N270" s="279">
        <f t="shared" si="151"/>
        <v>-74105</v>
      </c>
      <c r="O270" s="133">
        <f t="shared" si="151"/>
        <v>726512</v>
      </c>
    </row>
    <row r="271" spans="1:15" s="37" customFormat="1" x14ac:dyDescent="0.25">
      <c r="A271" s="36"/>
      <c r="B271" s="298" t="s">
        <v>160</v>
      </c>
      <c r="C271" s="36"/>
      <c r="D271" s="100">
        <v>53</v>
      </c>
      <c r="E271" s="100">
        <v>0</v>
      </c>
      <c r="F271" s="74">
        <v>853</v>
      </c>
      <c r="G271" s="132" t="s">
        <v>74</v>
      </c>
      <c r="H271" s="132" t="s">
        <v>4</v>
      </c>
      <c r="I271" s="132">
        <v>5118</v>
      </c>
      <c r="J271" s="132" t="s">
        <v>161</v>
      </c>
      <c r="K271" s="133">
        <f>'6 Вед15'!J284</f>
        <v>800617</v>
      </c>
      <c r="L271" s="279">
        <f>'6 Вед15'!K284</f>
        <v>0</v>
      </c>
      <c r="M271" s="133">
        <f>'6 Вед15'!L284</f>
        <v>800617</v>
      </c>
      <c r="N271" s="279">
        <f>'6 Вед15'!M284</f>
        <v>-74105</v>
      </c>
      <c r="O271" s="133">
        <f>'6 Вед15'!N284</f>
        <v>726512</v>
      </c>
    </row>
    <row r="272" spans="1:15" s="15" customFormat="1" ht="95.25" customHeight="1" x14ac:dyDescent="0.25">
      <c r="A272" s="552" t="s">
        <v>830</v>
      </c>
      <c r="B272" s="553"/>
      <c r="C272" s="472"/>
      <c r="D272" s="100">
        <v>53</v>
      </c>
      <c r="E272" s="289">
        <v>0</v>
      </c>
      <c r="F272" s="74">
        <v>853</v>
      </c>
      <c r="G272" s="20"/>
      <c r="H272" s="20"/>
      <c r="I272" s="20" t="s">
        <v>832</v>
      </c>
      <c r="J272" s="1"/>
      <c r="K272" s="2">
        <f t="shared" ref="K272:O273" si="152">K273</f>
        <v>0</v>
      </c>
      <c r="L272" s="116">
        <f t="shared" si="152"/>
        <v>0</v>
      </c>
      <c r="M272" s="2">
        <f t="shared" si="152"/>
        <v>0</v>
      </c>
      <c r="N272" s="116">
        <f t="shared" si="152"/>
        <v>68104</v>
      </c>
      <c r="O272" s="2">
        <f t="shared" si="152"/>
        <v>68104</v>
      </c>
    </row>
    <row r="273" spans="1:15" s="15" customFormat="1" x14ac:dyDescent="0.25">
      <c r="A273" s="472"/>
      <c r="B273" s="473" t="s">
        <v>158</v>
      </c>
      <c r="C273" s="472"/>
      <c r="D273" s="100">
        <v>53</v>
      </c>
      <c r="E273" s="289">
        <v>0</v>
      </c>
      <c r="F273" s="74">
        <v>853</v>
      </c>
      <c r="G273" s="20"/>
      <c r="H273" s="20"/>
      <c r="I273" s="20" t="s">
        <v>832</v>
      </c>
      <c r="J273" s="1" t="s">
        <v>159</v>
      </c>
      <c r="K273" s="2">
        <f t="shared" si="152"/>
        <v>0</v>
      </c>
      <c r="L273" s="116">
        <f t="shared" si="152"/>
        <v>0</v>
      </c>
      <c r="M273" s="2">
        <f t="shared" si="152"/>
        <v>0</v>
      </c>
      <c r="N273" s="116">
        <f t="shared" si="152"/>
        <v>68104</v>
      </c>
      <c r="O273" s="2">
        <f t="shared" si="152"/>
        <v>68104</v>
      </c>
    </row>
    <row r="274" spans="1:15" s="15" customFormat="1" x14ac:dyDescent="0.25">
      <c r="A274" s="472"/>
      <c r="B274" s="472" t="s">
        <v>171</v>
      </c>
      <c r="C274" s="472"/>
      <c r="D274" s="100">
        <v>53</v>
      </c>
      <c r="E274" s="289">
        <v>0</v>
      </c>
      <c r="F274" s="74">
        <v>853</v>
      </c>
      <c r="G274" s="20"/>
      <c r="H274" s="20"/>
      <c r="I274" s="20" t="s">
        <v>832</v>
      </c>
      <c r="J274" s="1" t="s">
        <v>172</v>
      </c>
      <c r="K274" s="2"/>
      <c r="L274" s="116"/>
      <c r="M274" s="2">
        <f>K274+L274</f>
        <v>0</v>
      </c>
      <c r="N274" s="116">
        <f>'6 Вед15'!M294</f>
        <v>68104</v>
      </c>
      <c r="O274" s="2">
        <f>M274+N274</f>
        <v>68104</v>
      </c>
    </row>
    <row r="275" spans="1:15" s="6" customFormat="1" ht="13.5" customHeight="1" x14ac:dyDescent="0.25">
      <c r="A275" s="601" t="s">
        <v>368</v>
      </c>
      <c r="B275" s="602"/>
      <c r="C275" s="295"/>
      <c r="D275" s="304">
        <v>70</v>
      </c>
      <c r="E275" s="289"/>
      <c r="F275" s="74"/>
      <c r="G275" s="1"/>
      <c r="H275" s="1"/>
      <c r="I275" s="1"/>
      <c r="J275" s="45"/>
      <c r="K275" s="9">
        <f>K276+K280+K284+K295</f>
        <v>2123620</v>
      </c>
      <c r="L275" s="9">
        <f t="shared" ref="L275:M275" si="153">L276+L280+L284+L295</f>
        <v>0</v>
      </c>
      <c r="M275" s="9">
        <f t="shared" si="153"/>
        <v>2123620</v>
      </c>
      <c r="N275" s="9">
        <f t="shared" ref="N275:O275" si="154">N276+N280+N284+N295</f>
        <v>0</v>
      </c>
      <c r="O275" s="9">
        <f t="shared" si="154"/>
        <v>2123620</v>
      </c>
    </row>
    <row r="276" spans="1:15" s="6" customFormat="1" ht="13.5" customHeight="1" x14ac:dyDescent="0.25">
      <c r="A276" s="564" t="s">
        <v>16</v>
      </c>
      <c r="B276" s="565"/>
      <c r="C276" s="312"/>
      <c r="D276" s="18">
        <v>70</v>
      </c>
      <c r="E276" s="18">
        <v>0</v>
      </c>
      <c r="F276" s="99">
        <v>851</v>
      </c>
      <c r="G276" s="12"/>
      <c r="H276" s="12"/>
      <c r="I276" s="12"/>
      <c r="J276" s="320"/>
      <c r="K276" s="14">
        <f>K277</f>
        <v>200000</v>
      </c>
      <c r="L276" s="14">
        <f t="shared" ref="L276:O276" si="155">L277</f>
        <v>0</v>
      </c>
      <c r="M276" s="14">
        <f t="shared" si="155"/>
        <v>200000</v>
      </c>
      <c r="N276" s="14">
        <f t="shared" si="155"/>
        <v>0</v>
      </c>
      <c r="O276" s="14">
        <f t="shared" si="155"/>
        <v>200000</v>
      </c>
    </row>
    <row r="277" spans="1:15" s="6" customFormat="1" x14ac:dyDescent="0.25">
      <c r="A277" s="583" t="s">
        <v>41</v>
      </c>
      <c r="B277" s="583"/>
      <c r="C277" s="295"/>
      <c r="D277" s="289">
        <v>70</v>
      </c>
      <c r="E277" s="289">
        <v>0</v>
      </c>
      <c r="F277" s="289">
        <v>851</v>
      </c>
      <c r="G277" s="1" t="s">
        <v>18</v>
      </c>
      <c r="H277" s="1" t="s">
        <v>39</v>
      </c>
      <c r="I277" s="1" t="s">
        <v>369</v>
      </c>
      <c r="J277" s="1"/>
      <c r="K277" s="2">
        <f t="shared" ref="K277:O278" si="156">K278</f>
        <v>200000</v>
      </c>
      <c r="L277" s="116">
        <f t="shared" si="156"/>
        <v>0</v>
      </c>
      <c r="M277" s="2">
        <f t="shared" si="156"/>
        <v>200000</v>
      </c>
      <c r="N277" s="116">
        <f t="shared" si="156"/>
        <v>0</v>
      </c>
      <c r="O277" s="2">
        <f t="shared" si="156"/>
        <v>200000</v>
      </c>
    </row>
    <row r="278" spans="1:15" s="6" customFormat="1" x14ac:dyDescent="0.25">
      <c r="A278" s="17"/>
      <c r="B278" s="295" t="s">
        <v>32</v>
      </c>
      <c r="C278" s="295"/>
      <c r="D278" s="289">
        <v>70</v>
      </c>
      <c r="E278" s="289">
        <v>0</v>
      </c>
      <c r="F278" s="289">
        <v>851</v>
      </c>
      <c r="G278" s="1" t="s">
        <v>18</v>
      </c>
      <c r="H278" s="1" t="s">
        <v>39</v>
      </c>
      <c r="I278" s="1" t="s">
        <v>369</v>
      </c>
      <c r="J278" s="1" t="s">
        <v>33</v>
      </c>
      <c r="K278" s="2">
        <f t="shared" si="156"/>
        <v>200000</v>
      </c>
      <c r="L278" s="116">
        <f t="shared" si="156"/>
        <v>0</v>
      </c>
      <c r="M278" s="2">
        <f t="shared" si="156"/>
        <v>200000</v>
      </c>
      <c r="N278" s="116">
        <f t="shared" si="156"/>
        <v>0</v>
      </c>
      <c r="O278" s="2">
        <f t="shared" si="156"/>
        <v>200000</v>
      </c>
    </row>
    <row r="279" spans="1:15" s="6" customFormat="1" x14ac:dyDescent="0.25">
      <c r="A279" s="17"/>
      <c r="B279" s="294" t="s">
        <v>42</v>
      </c>
      <c r="C279" s="294"/>
      <c r="D279" s="289">
        <v>70</v>
      </c>
      <c r="E279" s="289">
        <v>0</v>
      </c>
      <c r="F279" s="289">
        <v>851</v>
      </c>
      <c r="G279" s="1" t="s">
        <v>18</v>
      </c>
      <c r="H279" s="1" t="s">
        <v>39</v>
      </c>
      <c r="I279" s="1" t="s">
        <v>369</v>
      </c>
      <c r="J279" s="1" t="s">
        <v>43</v>
      </c>
      <c r="K279" s="2">
        <f>'6 Вед15'!J33</f>
        <v>200000</v>
      </c>
      <c r="L279" s="116">
        <f>'6 Вед15'!K33</f>
        <v>0</v>
      </c>
      <c r="M279" s="2">
        <f>'6 Вед15'!L33</f>
        <v>200000</v>
      </c>
      <c r="N279" s="116">
        <f>'6 Вед15'!M33</f>
        <v>0</v>
      </c>
      <c r="O279" s="2">
        <f>'6 Вед15'!N33</f>
        <v>200000</v>
      </c>
    </row>
    <row r="280" spans="1:15" s="6" customFormat="1" ht="12" hidden="1" customHeight="1" x14ac:dyDescent="0.25">
      <c r="A280" s="589" t="s">
        <v>181</v>
      </c>
      <c r="B280" s="589"/>
      <c r="C280" s="294"/>
      <c r="D280" s="18">
        <v>70</v>
      </c>
      <c r="E280" s="18">
        <v>0</v>
      </c>
      <c r="F280" s="99">
        <v>853</v>
      </c>
      <c r="G280" s="18" t="s">
        <v>182</v>
      </c>
      <c r="H280" s="300" t="s">
        <v>164</v>
      </c>
      <c r="I280" s="1"/>
      <c r="J280" s="300" t="s">
        <v>164</v>
      </c>
      <c r="K280" s="14">
        <f t="shared" ref="K280:O282" si="157">K281</f>
        <v>0</v>
      </c>
      <c r="L280" s="276">
        <f t="shared" si="157"/>
        <v>0</v>
      </c>
      <c r="M280" s="14">
        <f t="shared" si="157"/>
        <v>0</v>
      </c>
      <c r="N280" s="276">
        <f t="shared" si="157"/>
        <v>0</v>
      </c>
      <c r="O280" s="14">
        <f t="shared" si="157"/>
        <v>0</v>
      </c>
    </row>
    <row r="281" spans="1:15" s="6" customFormat="1" hidden="1" x14ac:dyDescent="0.25">
      <c r="A281" s="589" t="s">
        <v>181</v>
      </c>
      <c r="B281" s="589"/>
      <c r="C281" s="294"/>
      <c r="D281" s="18">
        <v>70</v>
      </c>
      <c r="E281" s="18">
        <v>0</v>
      </c>
      <c r="F281" s="99">
        <v>853</v>
      </c>
      <c r="G281" s="18" t="s">
        <v>182</v>
      </c>
      <c r="H281" s="18" t="s">
        <v>182</v>
      </c>
      <c r="I281" s="1" t="s">
        <v>367</v>
      </c>
      <c r="J281" s="300" t="s">
        <v>164</v>
      </c>
      <c r="K281" s="14">
        <f t="shared" si="157"/>
        <v>0</v>
      </c>
      <c r="L281" s="276">
        <f t="shared" si="157"/>
        <v>0</v>
      </c>
      <c r="M281" s="14">
        <f t="shared" si="157"/>
        <v>0</v>
      </c>
      <c r="N281" s="276">
        <f t="shared" si="157"/>
        <v>0</v>
      </c>
      <c r="O281" s="14">
        <f t="shared" si="157"/>
        <v>0</v>
      </c>
    </row>
    <row r="282" spans="1:15" s="6" customFormat="1" hidden="1" x14ac:dyDescent="0.25">
      <c r="A282" s="17"/>
      <c r="B282" s="295" t="s">
        <v>181</v>
      </c>
      <c r="C282" s="294"/>
      <c r="D282" s="289">
        <v>70</v>
      </c>
      <c r="E282" s="289">
        <v>0</v>
      </c>
      <c r="F282" s="74">
        <v>853</v>
      </c>
      <c r="G282" s="289" t="s">
        <v>182</v>
      </c>
      <c r="H282" s="289" t="s">
        <v>182</v>
      </c>
      <c r="I282" s="1" t="s">
        <v>367</v>
      </c>
      <c r="J282" s="294" t="s">
        <v>164</v>
      </c>
      <c r="K282" s="2">
        <f t="shared" si="157"/>
        <v>0</v>
      </c>
      <c r="L282" s="116">
        <f t="shared" si="157"/>
        <v>0</v>
      </c>
      <c r="M282" s="2">
        <f t="shared" si="157"/>
        <v>0</v>
      </c>
      <c r="N282" s="116">
        <f t="shared" si="157"/>
        <v>0</v>
      </c>
      <c r="O282" s="2">
        <f t="shared" si="157"/>
        <v>0</v>
      </c>
    </row>
    <row r="283" spans="1:15" s="6" customFormat="1" hidden="1" x14ac:dyDescent="0.25">
      <c r="A283" s="17"/>
      <c r="B283" s="295" t="s">
        <v>181</v>
      </c>
      <c r="C283" s="294"/>
      <c r="D283" s="289">
        <v>70</v>
      </c>
      <c r="E283" s="289">
        <v>0</v>
      </c>
      <c r="F283" s="74">
        <v>853</v>
      </c>
      <c r="G283" s="289" t="s">
        <v>182</v>
      </c>
      <c r="H283" s="289" t="s">
        <v>182</v>
      </c>
      <c r="I283" s="1" t="s">
        <v>367</v>
      </c>
      <c r="J283" s="289" t="s">
        <v>184</v>
      </c>
      <c r="K283" s="2">
        <f>'6 Вед15'!J328</f>
        <v>0</v>
      </c>
      <c r="L283" s="116">
        <f>'6 Вед15'!K328</f>
        <v>0</v>
      </c>
      <c r="M283" s="116">
        <f>'6 Вед15'!L328</f>
        <v>0</v>
      </c>
      <c r="N283" s="116">
        <f>'6 Вед15'!M328</f>
        <v>0</v>
      </c>
      <c r="O283" s="116">
        <f>'6 Вед15'!N328</f>
        <v>0</v>
      </c>
    </row>
    <row r="284" spans="1:15" s="15" customFormat="1" ht="13.5" customHeight="1" x14ac:dyDescent="0.25">
      <c r="A284" s="564" t="s">
        <v>176</v>
      </c>
      <c r="B284" s="565"/>
      <c r="C284" s="99"/>
      <c r="D284" s="99">
        <v>70</v>
      </c>
      <c r="E284" s="99">
        <v>0</v>
      </c>
      <c r="F284" s="99">
        <v>854</v>
      </c>
      <c r="G284" s="99"/>
      <c r="H284" s="12"/>
      <c r="I284" s="12"/>
      <c r="J284" s="12"/>
      <c r="K284" s="14">
        <f>K285+K288</f>
        <v>1416920</v>
      </c>
      <c r="L284" s="14">
        <f t="shared" ref="L284:M284" si="158">L285+L288</f>
        <v>0</v>
      </c>
      <c r="M284" s="14">
        <f t="shared" si="158"/>
        <v>1416920</v>
      </c>
      <c r="N284" s="14">
        <f t="shared" ref="N284:O284" si="159">N285+N288</f>
        <v>0</v>
      </c>
      <c r="O284" s="14">
        <f t="shared" si="159"/>
        <v>1416920</v>
      </c>
    </row>
    <row r="285" spans="1:15" s="6" customFormat="1" x14ac:dyDescent="0.25">
      <c r="A285" s="583" t="s">
        <v>582</v>
      </c>
      <c r="B285" s="583"/>
      <c r="C285" s="295"/>
      <c r="D285" s="289">
        <v>70</v>
      </c>
      <c r="E285" s="289">
        <v>0</v>
      </c>
      <c r="F285" s="289">
        <v>854</v>
      </c>
      <c r="G285" s="1" t="s">
        <v>23</v>
      </c>
      <c r="H285" s="1" t="s">
        <v>74</v>
      </c>
      <c r="I285" s="1" t="s">
        <v>584</v>
      </c>
      <c r="J285" s="1"/>
      <c r="K285" s="2">
        <f t="shared" ref="K285:O286" si="160">K286</f>
        <v>789500</v>
      </c>
      <c r="L285" s="116">
        <f t="shared" si="160"/>
        <v>0</v>
      </c>
      <c r="M285" s="2">
        <f t="shared" si="160"/>
        <v>789500</v>
      </c>
      <c r="N285" s="116">
        <f t="shared" si="160"/>
        <v>0</v>
      </c>
      <c r="O285" s="2">
        <f t="shared" si="160"/>
        <v>789500</v>
      </c>
    </row>
    <row r="286" spans="1:15" s="6" customFormat="1" ht="36" customHeight="1" x14ac:dyDescent="0.25">
      <c r="A286" s="295"/>
      <c r="B286" s="294" t="s">
        <v>22</v>
      </c>
      <c r="C286" s="295"/>
      <c r="D286" s="289">
        <v>70</v>
      </c>
      <c r="E286" s="289">
        <v>0</v>
      </c>
      <c r="F286" s="289">
        <v>854</v>
      </c>
      <c r="G286" s="1" t="s">
        <v>18</v>
      </c>
      <c r="H286" s="1" t="s">
        <v>74</v>
      </c>
      <c r="I286" s="1" t="s">
        <v>584</v>
      </c>
      <c r="J286" s="1" t="s">
        <v>24</v>
      </c>
      <c r="K286" s="2">
        <f t="shared" si="160"/>
        <v>789500</v>
      </c>
      <c r="L286" s="116">
        <f t="shared" si="160"/>
        <v>0</v>
      </c>
      <c r="M286" s="2">
        <f t="shared" si="160"/>
        <v>789500</v>
      </c>
      <c r="N286" s="116">
        <f t="shared" si="160"/>
        <v>0</v>
      </c>
      <c r="O286" s="2">
        <f t="shared" si="160"/>
        <v>789500</v>
      </c>
    </row>
    <row r="287" spans="1:15" s="6" customFormat="1" ht="15" customHeight="1" x14ac:dyDescent="0.25">
      <c r="A287" s="295"/>
      <c r="B287" s="294" t="s">
        <v>25</v>
      </c>
      <c r="C287" s="295"/>
      <c r="D287" s="289">
        <v>70</v>
      </c>
      <c r="E287" s="289">
        <v>0</v>
      </c>
      <c r="F287" s="289">
        <v>854</v>
      </c>
      <c r="G287" s="1" t="s">
        <v>18</v>
      </c>
      <c r="H287" s="1" t="s">
        <v>74</v>
      </c>
      <c r="I287" s="1" t="s">
        <v>584</v>
      </c>
      <c r="J287" s="1" t="s">
        <v>26</v>
      </c>
      <c r="K287" s="2">
        <f>'6 Вед15'!J334</f>
        <v>789500</v>
      </c>
      <c r="L287" s="116">
        <f>'6 Вед15'!K334</f>
        <v>0</v>
      </c>
      <c r="M287" s="2">
        <f>'6 Вед15'!L334</f>
        <v>789500</v>
      </c>
      <c r="N287" s="116">
        <f>'6 Вед15'!M334</f>
        <v>0</v>
      </c>
      <c r="O287" s="2">
        <f>'6 Вед15'!N334</f>
        <v>789500</v>
      </c>
    </row>
    <row r="288" spans="1:15" s="6" customFormat="1" ht="23.25" customHeight="1" x14ac:dyDescent="0.25">
      <c r="A288" s="583" t="s">
        <v>27</v>
      </c>
      <c r="B288" s="583"/>
      <c r="C288" s="289"/>
      <c r="D288" s="289">
        <v>70</v>
      </c>
      <c r="E288" s="289">
        <v>0</v>
      </c>
      <c r="F288" s="289">
        <v>854</v>
      </c>
      <c r="G288" s="1" t="s">
        <v>23</v>
      </c>
      <c r="H288" s="1" t="s">
        <v>4</v>
      </c>
      <c r="I288" s="1" t="s">
        <v>562</v>
      </c>
      <c r="J288" s="1"/>
      <c r="K288" s="2">
        <f t="shared" ref="K288:M288" si="161">K289+K291+K293</f>
        <v>627420</v>
      </c>
      <c r="L288" s="116">
        <f t="shared" si="161"/>
        <v>0</v>
      </c>
      <c r="M288" s="2">
        <f t="shared" si="161"/>
        <v>627420</v>
      </c>
      <c r="N288" s="116">
        <f t="shared" ref="N288:O288" si="162">N289+N291+N293</f>
        <v>0</v>
      </c>
      <c r="O288" s="2">
        <f t="shared" si="162"/>
        <v>627420</v>
      </c>
    </row>
    <row r="289" spans="1:15" s="6" customFormat="1" ht="36.75" customHeight="1" x14ac:dyDescent="0.25">
      <c r="A289" s="17"/>
      <c r="B289" s="294" t="s">
        <v>22</v>
      </c>
      <c r="C289" s="289"/>
      <c r="D289" s="289">
        <v>70</v>
      </c>
      <c r="E289" s="289">
        <v>0</v>
      </c>
      <c r="F289" s="289">
        <v>854</v>
      </c>
      <c r="G289" s="1" t="s">
        <v>18</v>
      </c>
      <c r="H289" s="1" t="s">
        <v>4</v>
      </c>
      <c r="I289" s="1" t="s">
        <v>562</v>
      </c>
      <c r="J289" s="1" t="s">
        <v>24</v>
      </c>
      <c r="K289" s="2">
        <f t="shared" ref="K289:O289" si="163">K290</f>
        <v>418200</v>
      </c>
      <c r="L289" s="116">
        <f t="shared" si="163"/>
        <v>0</v>
      </c>
      <c r="M289" s="2">
        <f t="shared" si="163"/>
        <v>418200</v>
      </c>
      <c r="N289" s="116">
        <f t="shared" si="163"/>
        <v>0</v>
      </c>
      <c r="O289" s="2">
        <f t="shared" si="163"/>
        <v>418200</v>
      </c>
    </row>
    <row r="290" spans="1:15" s="6" customFormat="1" ht="13.5" customHeight="1" x14ac:dyDescent="0.25">
      <c r="A290" s="17"/>
      <c r="B290" s="294" t="s">
        <v>25</v>
      </c>
      <c r="C290" s="289"/>
      <c r="D290" s="289">
        <v>70</v>
      </c>
      <c r="E290" s="289">
        <v>0</v>
      </c>
      <c r="F290" s="289">
        <v>854</v>
      </c>
      <c r="G290" s="1" t="s">
        <v>18</v>
      </c>
      <c r="H290" s="1" t="s">
        <v>4</v>
      </c>
      <c r="I290" s="1" t="s">
        <v>562</v>
      </c>
      <c r="J290" s="1" t="s">
        <v>26</v>
      </c>
      <c r="K290" s="2">
        <f>'6 Вед15'!J338</f>
        <v>418200</v>
      </c>
      <c r="L290" s="116">
        <f>'6 Вед15'!K338</f>
        <v>0</v>
      </c>
      <c r="M290" s="2">
        <f>'6 Вед15'!L338</f>
        <v>418200</v>
      </c>
      <c r="N290" s="116">
        <f>'6 Вед15'!M338</f>
        <v>0</v>
      </c>
      <c r="O290" s="2">
        <f>'6 Вед15'!N338</f>
        <v>418200</v>
      </c>
    </row>
    <row r="291" spans="1:15" s="6" customFormat="1" ht="13.5" customHeight="1" x14ac:dyDescent="0.25">
      <c r="A291" s="17"/>
      <c r="B291" s="298" t="s">
        <v>28</v>
      </c>
      <c r="C291" s="289"/>
      <c r="D291" s="289">
        <v>70</v>
      </c>
      <c r="E291" s="289">
        <v>0</v>
      </c>
      <c r="F291" s="289">
        <v>854</v>
      </c>
      <c r="G291" s="1" t="s">
        <v>18</v>
      </c>
      <c r="H291" s="1" t="s">
        <v>4</v>
      </c>
      <c r="I291" s="1" t="s">
        <v>562</v>
      </c>
      <c r="J291" s="1" t="s">
        <v>29</v>
      </c>
      <c r="K291" s="2">
        <f>'6 Вед15'!J339</f>
        <v>208700</v>
      </c>
      <c r="L291" s="116">
        <f>'6 Вед15'!K339</f>
        <v>0</v>
      </c>
      <c r="M291" s="2">
        <f>'6 Вед15'!L339</f>
        <v>208700</v>
      </c>
      <c r="N291" s="116">
        <f>'6 Вед15'!M339</f>
        <v>0</v>
      </c>
      <c r="O291" s="2">
        <f>'6 Вед15'!N339</f>
        <v>208700</v>
      </c>
    </row>
    <row r="292" spans="1:15" s="6" customFormat="1" ht="25.5" customHeight="1" x14ac:dyDescent="0.25">
      <c r="A292" s="17"/>
      <c r="B292" s="298" t="s">
        <v>30</v>
      </c>
      <c r="C292" s="289"/>
      <c r="D292" s="289">
        <v>70</v>
      </c>
      <c r="E292" s="289">
        <v>0</v>
      </c>
      <c r="F292" s="289">
        <v>854</v>
      </c>
      <c r="G292" s="1" t="s">
        <v>18</v>
      </c>
      <c r="H292" s="1" t="s">
        <v>4</v>
      </c>
      <c r="I292" s="1" t="s">
        <v>562</v>
      </c>
      <c r="J292" s="1" t="s">
        <v>31</v>
      </c>
      <c r="K292" s="2">
        <f>'6 Вед15'!J340</f>
        <v>208700</v>
      </c>
      <c r="L292" s="116">
        <f>'6 Вед15'!K340</f>
        <v>0</v>
      </c>
      <c r="M292" s="2">
        <f>'6 Вед15'!L340</f>
        <v>208700</v>
      </c>
      <c r="N292" s="116">
        <f>'6 Вед15'!M340</f>
        <v>0</v>
      </c>
      <c r="O292" s="2">
        <f>'6 Вед15'!N340</f>
        <v>208700</v>
      </c>
    </row>
    <row r="293" spans="1:15" s="6" customFormat="1" ht="13.5" customHeight="1" x14ac:dyDescent="0.25">
      <c r="A293" s="17"/>
      <c r="B293" s="298" t="s">
        <v>32</v>
      </c>
      <c r="C293" s="289"/>
      <c r="D293" s="289">
        <v>70</v>
      </c>
      <c r="E293" s="289">
        <v>0</v>
      </c>
      <c r="F293" s="289">
        <v>854</v>
      </c>
      <c r="G293" s="1" t="s">
        <v>18</v>
      </c>
      <c r="H293" s="1" t="s">
        <v>4</v>
      </c>
      <c r="I293" s="1" t="s">
        <v>562</v>
      </c>
      <c r="J293" s="1" t="s">
        <v>33</v>
      </c>
      <c r="K293" s="2">
        <f>'6 Вед15'!J341</f>
        <v>520</v>
      </c>
      <c r="L293" s="116">
        <f>'6 Вед15'!K341</f>
        <v>0</v>
      </c>
      <c r="M293" s="2">
        <f>'6 Вед15'!L341</f>
        <v>520</v>
      </c>
      <c r="N293" s="116">
        <f>'6 Вед15'!M341</f>
        <v>0</v>
      </c>
      <c r="O293" s="2">
        <f>'6 Вед15'!N341</f>
        <v>520</v>
      </c>
    </row>
    <row r="294" spans="1:15" s="6" customFormat="1" x14ac:dyDescent="0.25">
      <c r="A294" s="17"/>
      <c r="B294" s="294" t="s">
        <v>596</v>
      </c>
      <c r="C294" s="295"/>
      <c r="D294" s="289">
        <v>70</v>
      </c>
      <c r="E294" s="289">
        <v>0</v>
      </c>
      <c r="F294" s="289">
        <v>854</v>
      </c>
      <c r="G294" s="1" t="s">
        <v>18</v>
      </c>
      <c r="H294" s="1" t="s">
        <v>4</v>
      </c>
      <c r="I294" s="1" t="s">
        <v>562</v>
      </c>
      <c r="J294" s="1" t="s">
        <v>36</v>
      </c>
      <c r="K294" s="2">
        <f>'6 Вед15'!J342</f>
        <v>520</v>
      </c>
      <c r="L294" s="116">
        <f>'6 Вед15'!K342</f>
        <v>0</v>
      </c>
      <c r="M294" s="2">
        <f>'6 Вед15'!L342</f>
        <v>520</v>
      </c>
      <c r="N294" s="116">
        <f>'6 Вед15'!M342</f>
        <v>0</v>
      </c>
      <c r="O294" s="2">
        <f>'6 Вед15'!N342</f>
        <v>520</v>
      </c>
    </row>
    <row r="295" spans="1:15" s="6" customFormat="1" x14ac:dyDescent="0.25">
      <c r="A295" s="564" t="s">
        <v>747</v>
      </c>
      <c r="B295" s="565"/>
      <c r="C295" s="356"/>
      <c r="D295" s="18">
        <v>70</v>
      </c>
      <c r="E295" s="18">
        <v>0</v>
      </c>
      <c r="F295" s="18">
        <v>857</v>
      </c>
      <c r="G295" s="12"/>
      <c r="H295" s="12"/>
      <c r="I295" s="12"/>
      <c r="J295" s="12"/>
      <c r="K295" s="14">
        <f>K296+K301</f>
        <v>506700</v>
      </c>
      <c r="L295" s="14">
        <f t="shared" ref="L295:M295" si="164">L296+L301</f>
        <v>0</v>
      </c>
      <c r="M295" s="14">
        <f t="shared" si="164"/>
        <v>506700</v>
      </c>
      <c r="N295" s="14">
        <f t="shared" ref="N295:O295" si="165">N296+N301</f>
        <v>0</v>
      </c>
      <c r="O295" s="14">
        <f t="shared" si="165"/>
        <v>506700</v>
      </c>
    </row>
    <row r="296" spans="1:15" s="6" customFormat="1" ht="14.25" customHeight="1" x14ac:dyDescent="0.25">
      <c r="A296" s="583" t="s">
        <v>178</v>
      </c>
      <c r="B296" s="583"/>
      <c r="C296" s="356"/>
      <c r="D296" s="289">
        <v>70</v>
      </c>
      <c r="E296" s="289">
        <v>0</v>
      </c>
      <c r="F296" s="289">
        <v>857</v>
      </c>
      <c r="G296" s="1" t="s">
        <v>18</v>
      </c>
      <c r="H296" s="1" t="s">
        <v>1</v>
      </c>
      <c r="I296" s="1" t="s">
        <v>370</v>
      </c>
      <c r="J296" s="1"/>
      <c r="K296" s="2">
        <f>K297+K299</f>
        <v>488700</v>
      </c>
      <c r="L296" s="2">
        <f t="shared" ref="L296:M296" si="166">L297+L299</f>
        <v>0</v>
      </c>
      <c r="M296" s="2">
        <f t="shared" si="166"/>
        <v>488700</v>
      </c>
      <c r="N296" s="2">
        <f t="shared" ref="N296:O296" si="167">N297+N299</f>
        <v>0</v>
      </c>
      <c r="O296" s="2">
        <f t="shared" si="167"/>
        <v>488700</v>
      </c>
    </row>
    <row r="297" spans="1:15" s="6" customFormat="1" ht="39.75" customHeight="1" x14ac:dyDescent="0.25">
      <c r="A297" s="356"/>
      <c r="B297" s="355" t="s">
        <v>22</v>
      </c>
      <c r="C297" s="356"/>
      <c r="D297" s="289">
        <v>70</v>
      </c>
      <c r="E297" s="289">
        <v>0</v>
      </c>
      <c r="F297" s="289">
        <v>857</v>
      </c>
      <c r="G297" s="1" t="s">
        <v>23</v>
      </c>
      <c r="H297" s="1" t="s">
        <v>1</v>
      </c>
      <c r="I297" s="1" t="s">
        <v>370</v>
      </c>
      <c r="J297" s="1" t="s">
        <v>24</v>
      </c>
      <c r="K297" s="2">
        <f t="shared" ref="K297:O297" si="168">K298</f>
        <v>459000</v>
      </c>
      <c r="L297" s="2">
        <f t="shared" si="168"/>
        <v>0</v>
      </c>
      <c r="M297" s="2">
        <f t="shared" si="168"/>
        <v>459000</v>
      </c>
      <c r="N297" s="2">
        <f t="shared" si="168"/>
        <v>0</v>
      </c>
      <c r="O297" s="2">
        <f t="shared" si="168"/>
        <v>459000</v>
      </c>
    </row>
    <row r="298" spans="1:15" s="6" customFormat="1" ht="15" customHeight="1" x14ac:dyDescent="0.25">
      <c r="A298" s="17"/>
      <c r="B298" s="355" t="s">
        <v>25</v>
      </c>
      <c r="C298" s="355"/>
      <c r="D298" s="289">
        <v>70</v>
      </c>
      <c r="E298" s="289">
        <v>0</v>
      </c>
      <c r="F298" s="289">
        <v>857</v>
      </c>
      <c r="G298" s="1" t="s">
        <v>18</v>
      </c>
      <c r="H298" s="1" t="s">
        <v>1</v>
      </c>
      <c r="I298" s="1" t="s">
        <v>370</v>
      </c>
      <c r="J298" s="1" t="s">
        <v>26</v>
      </c>
      <c r="K298" s="2">
        <f>'6 Вед15'!J348</f>
        <v>459000</v>
      </c>
      <c r="L298" s="2">
        <f>'6 Вед15'!K348</f>
        <v>0</v>
      </c>
      <c r="M298" s="2">
        <f>'6 Вед15'!L348</f>
        <v>459000</v>
      </c>
      <c r="N298" s="2">
        <f>'6 Вед15'!M348</f>
        <v>0</v>
      </c>
      <c r="O298" s="2">
        <f>'6 Вед15'!N348</f>
        <v>459000</v>
      </c>
    </row>
    <row r="299" spans="1:15" s="6" customFormat="1" ht="13.5" customHeight="1" x14ac:dyDescent="0.25">
      <c r="A299" s="17"/>
      <c r="B299" s="366" t="s">
        <v>28</v>
      </c>
      <c r="C299" s="289"/>
      <c r="D299" s="289">
        <v>70</v>
      </c>
      <c r="E299" s="289">
        <v>0</v>
      </c>
      <c r="F299" s="289">
        <v>857</v>
      </c>
      <c r="G299" s="1" t="s">
        <v>18</v>
      </c>
      <c r="H299" s="1" t="s">
        <v>4</v>
      </c>
      <c r="I299" s="1" t="s">
        <v>370</v>
      </c>
      <c r="J299" s="1" t="s">
        <v>29</v>
      </c>
      <c r="K299" s="2">
        <f>K300</f>
        <v>29700</v>
      </c>
      <c r="L299" s="2">
        <f t="shared" ref="L299:O299" si="169">L300</f>
        <v>0</v>
      </c>
      <c r="M299" s="2">
        <f t="shared" si="169"/>
        <v>29700</v>
      </c>
      <c r="N299" s="2">
        <f t="shared" si="169"/>
        <v>0</v>
      </c>
      <c r="O299" s="2">
        <f t="shared" si="169"/>
        <v>29700</v>
      </c>
    </row>
    <row r="300" spans="1:15" s="6" customFormat="1" ht="25.5" customHeight="1" x14ac:dyDescent="0.25">
      <c r="A300" s="17"/>
      <c r="B300" s="366" t="s">
        <v>30</v>
      </c>
      <c r="C300" s="289"/>
      <c r="D300" s="289">
        <v>70</v>
      </c>
      <c r="E300" s="289">
        <v>0</v>
      </c>
      <c r="F300" s="289">
        <v>857</v>
      </c>
      <c r="G300" s="1" t="s">
        <v>18</v>
      </c>
      <c r="H300" s="1" t="s">
        <v>4</v>
      </c>
      <c r="I300" s="1" t="s">
        <v>370</v>
      </c>
      <c r="J300" s="1" t="s">
        <v>31</v>
      </c>
      <c r="K300" s="2">
        <f>'6 Вед15'!J350</f>
        <v>29700</v>
      </c>
      <c r="L300" s="2">
        <f>'6 Вед15'!K350</f>
        <v>0</v>
      </c>
      <c r="M300" s="2">
        <f>'6 Вед15'!L350</f>
        <v>29700</v>
      </c>
      <c r="N300" s="2">
        <f>'6 Вед15'!M350</f>
        <v>0</v>
      </c>
      <c r="O300" s="2">
        <f>'6 Вед15'!N350</f>
        <v>29700</v>
      </c>
    </row>
    <row r="301" spans="1:15" s="6" customFormat="1" ht="26.25" customHeight="1" x14ac:dyDescent="0.25">
      <c r="A301" s="583" t="s">
        <v>373</v>
      </c>
      <c r="B301" s="583"/>
      <c r="C301" s="295"/>
      <c r="D301" s="289">
        <v>70</v>
      </c>
      <c r="E301" s="289">
        <v>0</v>
      </c>
      <c r="F301" s="289">
        <v>857</v>
      </c>
      <c r="G301" s="1" t="s">
        <v>23</v>
      </c>
      <c r="H301" s="1" t="s">
        <v>1</v>
      </c>
      <c r="I301" s="1" t="s">
        <v>621</v>
      </c>
      <c r="J301" s="2"/>
      <c r="K301" s="2">
        <f t="shared" ref="K301:O302" si="170">K302</f>
        <v>18000</v>
      </c>
      <c r="L301" s="2">
        <f t="shared" si="170"/>
        <v>0</v>
      </c>
      <c r="M301" s="2">
        <f t="shared" si="170"/>
        <v>18000</v>
      </c>
      <c r="N301" s="2">
        <f t="shared" si="170"/>
        <v>0</v>
      </c>
      <c r="O301" s="2">
        <f t="shared" si="170"/>
        <v>18000</v>
      </c>
    </row>
    <row r="302" spans="1:15" s="6" customFormat="1" ht="14.25" customHeight="1" x14ac:dyDescent="0.25">
      <c r="A302" s="17"/>
      <c r="B302" s="298" t="s">
        <v>28</v>
      </c>
      <c r="C302" s="294"/>
      <c r="D302" s="289">
        <v>70</v>
      </c>
      <c r="E302" s="289">
        <v>0</v>
      </c>
      <c r="F302" s="289">
        <v>857</v>
      </c>
      <c r="G302" s="1" t="s">
        <v>18</v>
      </c>
      <c r="H302" s="1" t="s">
        <v>1</v>
      </c>
      <c r="I302" s="1" t="s">
        <v>621</v>
      </c>
      <c r="J302" s="1" t="s">
        <v>29</v>
      </c>
      <c r="K302" s="2">
        <f t="shared" si="170"/>
        <v>18000</v>
      </c>
      <c r="L302" s="2">
        <f t="shared" si="170"/>
        <v>0</v>
      </c>
      <c r="M302" s="2">
        <f t="shared" si="170"/>
        <v>18000</v>
      </c>
      <c r="N302" s="2">
        <f t="shared" si="170"/>
        <v>0</v>
      </c>
      <c r="O302" s="2">
        <f t="shared" si="170"/>
        <v>18000</v>
      </c>
    </row>
    <row r="303" spans="1:15" s="6" customFormat="1" ht="24" x14ac:dyDescent="0.25">
      <c r="A303" s="17"/>
      <c r="B303" s="298" t="s">
        <v>30</v>
      </c>
      <c r="C303" s="295"/>
      <c r="D303" s="289">
        <v>70</v>
      </c>
      <c r="E303" s="289">
        <v>0</v>
      </c>
      <c r="F303" s="289">
        <v>857</v>
      </c>
      <c r="G303" s="1" t="s">
        <v>18</v>
      </c>
      <c r="H303" s="1" t="s">
        <v>1</v>
      </c>
      <c r="I303" s="1" t="s">
        <v>621</v>
      </c>
      <c r="J303" s="1" t="s">
        <v>31</v>
      </c>
      <c r="K303" s="2">
        <f>'6 Вед15'!J353</f>
        <v>18000</v>
      </c>
      <c r="L303" s="2">
        <f>'6 Вед15'!K353</f>
        <v>0</v>
      </c>
      <c r="M303" s="2">
        <f>'6 Вед15'!L353</f>
        <v>18000</v>
      </c>
      <c r="N303" s="2">
        <f>'6 Вед15'!M353</f>
        <v>0</v>
      </c>
      <c r="O303" s="2">
        <f>'6 Вед15'!N353</f>
        <v>18000</v>
      </c>
    </row>
    <row r="304" spans="1:15" s="6" customFormat="1" ht="18" customHeight="1" x14ac:dyDescent="0.25">
      <c r="A304" s="303"/>
      <c r="B304" s="300" t="s">
        <v>180</v>
      </c>
      <c r="C304" s="300"/>
      <c r="D304" s="18"/>
      <c r="E304" s="18"/>
      <c r="F304" s="18"/>
      <c r="G304" s="12"/>
      <c r="H304" s="12"/>
      <c r="I304" s="12"/>
      <c r="J304" s="12"/>
      <c r="K304" s="14">
        <f>K8+K167+K236+K275</f>
        <v>234246433</v>
      </c>
      <c r="L304" s="276">
        <f>L8+L167+L236+L275</f>
        <v>8505006</v>
      </c>
      <c r="M304" s="14">
        <f>M8+M167+M236+M275</f>
        <v>242751439</v>
      </c>
      <c r="N304" s="276">
        <f>N8+N167+N236+N275</f>
        <v>165681</v>
      </c>
      <c r="O304" s="14">
        <f>O8+O167+O236+O275</f>
        <v>242917120</v>
      </c>
    </row>
    <row r="305" spans="2:15" s="94" customFormat="1" hidden="1" x14ac:dyDescent="0.25">
      <c r="F305" s="230"/>
      <c r="I305" s="230"/>
      <c r="K305" s="231"/>
    </row>
    <row r="306" spans="2:15" s="94" customFormat="1" hidden="1" x14ac:dyDescent="0.25">
      <c r="B306" s="6"/>
      <c r="C306" s="6"/>
      <c r="D306" s="6"/>
      <c r="E306" s="6"/>
      <c r="F306" s="75"/>
      <c r="G306" s="6"/>
      <c r="H306" s="6"/>
      <c r="I306" s="75" t="s">
        <v>575</v>
      </c>
      <c r="J306" s="6"/>
      <c r="K306" s="10">
        <f>'6 Вед15'!J354</f>
        <v>234246433</v>
      </c>
      <c r="L306" s="10">
        <f>'6 Вед15'!K354</f>
        <v>8505006</v>
      </c>
      <c r="M306" s="10">
        <f>'6 Вед15'!L354</f>
        <v>242751439</v>
      </c>
      <c r="N306" s="10">
        <f>'6 Вед15'!M354</f>
        <v>165681</v>
      </c>
      <c r="O306" s="10">
        <f>'6 Вед15'!N354</f>
        <v>242917120</v>
      </c>
    </row>
    <row r="307" spans="2:15" s="94" customFormat="1" hidden="1" x14ac:dyDescent="0.25">
      <c r="B307" s="6"/>
      <c r="C307" s="6"/>
      <c r="D307" s="6"/>
      <c r="E307" s="6"/>
      <c r="F307" s="75"/>
      <c r="G307" s="6"/>
      <c r="H307" s="6"/>
      <c r="I307" s="75"/>
      <c r="J307" s="6"/>
      <c r="K307" s="10">
        <f t="shared" ref="K307:M307" si="171">K304-K306</f>
        <v>0</v>
      </c>
      <c r="L307" s="10">
        <f t="shared" si="171"/>
        <v>0</v>
      </c>
      <c r="M307" s="10">
        <f t="shared" si="171"/>
        <v>0</v>
      </c>
      <c r="N307" s="10">
        <f t="shared" ref="N307:O307" si="172">N304-N306</f>
        <v>0</v>
      </c>
      <c r="O307" s="10">
        <f t="shared" si="172"/>
        <v>0</v>
      </c>
    </row>
    <row r="308" spans="2:15" s="94" customFormat="1" hidden="1" x14ac:dyDescent="0.25">
      <c r="B308" s="6"/>
      <c r="C308" s="6"/>
      <c r="D308" s="6"/>
      <c r="E308" s="6"/>
      <c r="F308" s="86"/>
      <c r="G308" s="87"/>
      <c r="H308" s="87"/>
      <c r="I308" s="86"/>
      <c r="J308" s="87"/>
      <c r="K308" s="10"/>
    </row>
    <row r="309" spans="2:15" s="94" customFormat="1" hidden="1" x14ac:dyDescent="0.25">
      <c r="B309" s="6"/>
      <c r="C309" s="6"/>
      <c r="D309" s="6"/>
      <c r="E309" s="6"/>
      <c r="F309" s="86"/>
      <c r="G309" s="87" t="s">
        <v>18</v>
      </c>
      <c r="H309" s="87"/>
      <c r="I309" s="86"/>
      <c r="J309" s="86"/>
      <c r="K309" s="10"/>
    </row>
    <row r="310" spans="2:15" s="94" customFormat="1" hidden="1" x14ac:dyDescent="0.25">
      <c r="B310" s="6"/>
      <c r="C310" s="6"/>
      <c r="D310" s="6"/>
      <c r="E310" s="6"/>
      <c r="F310" s="86"/>
      <c r="G310" s="87" t="s">
        <v>74</v>
      </c>
      <c r="H310" s="87"/>
      <c r="I310" s="86"/>
      <c r="J310" s="86"/>
      <c r="K310" s="10"/>
    </row>
    <row r="311" spans="2:15" s="94" customFormat="1" hidden="1" x14ac:dyDescent="0.25">
      <c r="B311" s="6"/>
      <c r="C311" s="6"/>
      <c r="D311" s="6"/>
      <c r="E311" s="6"/>
      <c r="F311" s="86"/>
      <c r="G311" s="87" t="s">
        <v>4</v>
      </c>
      <c r="H311" s="87"/>
      <c r="I311" s="86"/>
      <c r="J311" s="86"/>
      <c r="K311" s="10"/>
    </row>
    <row r="312" spans="2:15" s="94" customFormat="1" hidden="1" x14ac:dyDescent="0.25">
      <c r="B312" s="6" t="s">
        <v>575</v>
      </c>
      <c r="C312" s="6"/>
      <c r="D312" s="6"/>
      <c r="E312" s="6"/>
      <c r="F312" s="86"/>
      <c r="G312" s="87" t="s">
        <v>7</v>
      </c>
      <c r="H312" s="87"/>
      <c r="I312" s="86"/>
      <c r="J312" s="86"/>
      <c r="K312" s="10">
        <f>'6 Вед15'!J354</f>
        <v>234246433</v>
      </c>
      <c r="L312" s="10">
        <f>'6 Вед15'!K354</f>
        <v>8505006</v>
      </c>
      <c r="M312" s="10">
        <f>'6 Вед15'!L354</f>
        <v>242751439</v>
      </c>
      <c r="N312" s="10">
        <f>'6 Вед15'!M354</f>
        <v>165681</v>
      </c>
      <c r="O312" s="10">
        <f>'6 Вед15'!N354</f>
        <v>242917120</v>
      </c>
    </row>
    <row r="313" spans="2:15" s="94" customFormat="1" hidden="1" x14ac:dyDescent="0.25">
      <c r="B313" s="6" t="s">
        <v>576</v>
      </c>
      <c r="C313" s="6"/>
      <c r="D313" s="6"/>
      <c r="E313" s="6"/>
      <c r="F313" s="86"/>
      <c r="G313" s="87" t="s">
        <v>64</v>
      </c>
      <c r="H313" s="87"/>
      <c r="I313" s="86"/>
      <c r="J313" s="86"/>
      <c r="K313" s="10">
        <f>Функц.!J317</f>
        <v>234246433</v>
      </c>
      <c r="L313" s="10">
        <f>Функц.!K317</f>
        <v>8505006</v>
      </c>
      <c r="M313" s="10">
        <f>Функц.!L317</f>
        <v>242751439</v>
      </c>
      <c r="N313" s="10">
        <f>Функц.!M317</f>
        <v>165681</v>
      </c>
      <c r="O313" s="10">
        <f>Функц.!N317</f>
        <v>242917120</v>
      </c>
    </row>
    <row r="314" spans="2:15" s="94" customFormat="1" hidden="1" x14ac:dyDescent="0.25">
      <c r="B314" s="6"/>
      <c r="C314" s="6"/>
      <c r="D314" s="6"/>
      <c r="E314" s="6"/>
      <c r="F314" s="86"/>
      <c r="G314" s="87" t="s">
        <v>37</v>
      </c>
      <c r="H314" s="87"/>
      <c r="I314" s="86"/>
      <c r="J314" s="86"/>
      <c r="K314" s="10"/>
      <c r="L314" s="6"/>
      <c r="N314" s="6"/>
    </row>
    <row r="315" spans="2:15" s="94" customFormat="1" hidden="1" x14ac:dyDescent="0.25">
      <c r="B315" s="6"/>
      <c r="C315" s="6"/>
      <c r="D315" s="6"/>
      <c r="E315" s="6"/>
      <c r="F315" s="86"/>
      <c r="G315" s="87" t="s">
        <v>86</v>
      </c>
      <c r="H315" s="87"/>
      <c r="I315" s="86"/>
      <c r="J315" s="86"/>
      <c r="K315" s="10">
        <f>K304-K312</f>
        <v>0</v>
      </c>
      <c r="L315" s="10">
        <f>L304-L312</f>
        <v>0</v>
      </c>
      <c r="M315" s="10">
        <f>M304-M312</f>
        <v>0</v>
      </c>
      <c r="N315" s="10">
        <f>N304-N312</f>
        <v>0</v>
      </c>
      <c r="O315" s="10">
        <f>O304-O312</f>
        <v>0</v>
      </c>
    </row>
    <row r="316" spans="2:15" s="94" customFormat="1" hidden="1" x14ac:dyDescent="0.25">
      <c r="B316" s="6"/>
      <c r="C316" s="6"/>
      <c r="D316" s="6"/>
      <c r="E316" s="6"/>
      <c r="F316" s="86"/>
      <c r="G316" s="87" t="s">
        <v>0</v>
      </c>
      <c r="H316" s="87"/>
      <c r="I316" s="86"/>
      <c r="J316" s="86"/>
      <c r="K316" s="10">
        <f>K304-K313</f>
        <v>0</v>
      </c>
      <c r="L316" s="10">
        <f t="shared" ref="L316:M316" si="173">L304-L313</f>
        <v>0</v>
      </c>
      <c r="M316" s="10">
        <f t="shared" si="173"/>
        <v>0</v>
      </c>
      <c r="N316" s="10">
        <f t="shared" ref="N316:O316" si="174">N304-N313</f>
        <v>0</v>
      </c>
      <c r="O316" s="10">
        <f t="shared" si="174"/>
        <v>0</v>
      </c>
    </row>
    <row r="317" spans="2:15" s="94" customFormat="1" hidden="1" x14ac:dyDescent="0.25">
      <c r="B317" s="6"/>
      <c r="C317" s="6"/>
      <c r="D317" s="6"/>
      <c r="E317" s="6"/>
      <c r="F317" s="86"/>
      <c r="G317" s="87" t="s">
        <v>39</v>
      </c>
      <c r="H317" s="87"/>
      <c r="I317" s="86"/>
      <c r="J317" s="86"/>
      <c r="K317" s="10"/>
      <c r="L317" s="6"/>
      <c r="N317" s="6"/>
    </row>
    <row r="318" spans="2:15" s="94" customFormat="1" hidden="1" x14ac:dyDescent="0.25">
      <c r="B318" s="6"/>
      <c r="C318" s="6"/>
      <c r="D318" s="6"/>
      <c r="E318" s="6"/>
      <c r="F318" s="86"/>
      <c r="G318" s="87" t="s">
        <v>167</v>
      </c>
      <c r="H318" s="87"/>
      <c r="I318" s="86"/>
      <c r="J318" s="87"/>
      <c r="K318" s="10"/>
      <c r="L318" s="6"/>
      <c r="N318" s="6"/>
    </row>
    <row r="319" spans="2:15" s="94" customFormat="1" hidden="1" x14ac:dyDescent="0.25">
      <c r="B319" s="6"/>
      <c r="C319" s="6"/>
      <c r="D319" s="17" t="s">
        <v>818</v>
      </c>
      <c r="E319" s="17"/>
      <c r="F319" s="1"/>
      <c r="G319" s="288"/>
      <c r="H319" s="288"/>
      <c r="I319" s="1" t="s">
        <v>333</v>
      </c>
      <c r="J319" s="288"/>
      <c r="K319" s="2">
        <f>K10</f>
        <v>946200</v>
      </c>
      <c r="L319" s="2">
        <f>L10</f>
        <v>0</v>
      </c>
      <c r="M319" s="2">
        <f>M10</f>
        <v>946200</v>
      </c>
      <c r="N319" s="2">
        <f>N10</f>
        <v>0</v>
      </c>
      <c r="O319" s="2">
        <f>O10</f>
        <v>946200</v>
      </c>
    </row>
    <row r="320" spans="2:15" s="94" customFormat="1" hidden="1" x14ac:dyDescent="0.25">
      <c r="B320" s="6"/>
      <c r="C320" s="6"/>
      <c r="D320" s="17" t="s">
        <v>818</v>
      </c>
      <c r="E320" s="17"/>
      <c r="F320" s="1"/>
      <c r="G320" s="288"/>
      <c r="H320" s="288"/>
      <c r="I320" s="1" t="s">
        <v>584</v>
      </c>
      <c r="J320" s="288"/>
      <c r="K320" s="2">
        <f>K285</f>
        <v>789500</v>
      </c>
      <c r="L320" s="2">
        <f t="shared" ref="L320:O320" si="175">L285</f>
        <v>0</v>
      </c>
      <c r="M320" s="2">
        <f t="shared" si="175"/>
        <v>789500</v>
      </c>
      <c r="N320" s="2">
        <f t="shared" si="175"/>
        <v>0</v>
      </c>
      <c r="O320" s="2">
        <f t="shared" si="175"/>
        <v>789500</v>
      </c>
    </row>
    <row r="321" spans="2:15" s="94" customFormat="1" hidden="1" x14ac:dyDescent="0.25">
      <c r="B321" s="6"/>
      <c r="C321" s="6"/>
      <c r="D321" s="17" t="s">
        <v>818</v>
      </c>
      <c r="E321" s="17"/>
      <c r="F321" s="1"/>
      <c r="G321" s="288"/>
      <c r="H321" s="288"/>
      <c r="I321" s="1" t="s">
        <v>370</v>
      </c>
      <c r="J321" s="288"/>
      <c r="K321" s="2">
        <f>K296</f>
        <v>488700</v>
      </c>
      <c r="L321" s="2">
        <f t="shared" ref="L321:O321" si="176">L296</f>
        <v>0</v>
      </c>
      <c r="M321" s="2">
        <f t="shared" si="176"/>
        <v>488700</v>
      </c>
      <c r="N321" s="2">
        <f t="shared" si="176"/>
        <v>0</v>
      </c>
      <c r="O321" s="2">
        <f t="shared" si="176"/>
        <v>488700</v>
      </c>
    </row>
    <row r="322" spans="2:15" s="94" customFormat="1" hidden="1" x14ac:dyDescent="0.25">
      <c r="B322" s="6"/>
      <c r="C322" s="6"/>
      <c r="D322" s="17" t="s">
        <v>818</v>
      </c>
      <c r="E322" s="17"/>
      <c r="F322" s="1"/>
      <c r="G322" s="288"/>
      <c r="H322" s="288"/>
      <c r="I322" s="1" t="s">
        <v>562</v>
      </c>
      <c r="J322" s="288"/>
      <c r="K322" s="2">
        <f>K288+K238+K169+K13</f>
        <v>21586900</v>
      </c>
      <c r="L322" s="2">
        <f>L288+L238+L169+L13</f>
        <v>0</v>
      </c>
      <c r="M322" s="2">
        <f>M288+M238+M169+M13</f>
        <v>21586900</v>
      </c>
      <c r="N322" s="2">
        <f>N288+N238+N169+N13</f>
        <v>0</v>
      </c>
      <c r="O322" s="2">
        <f>O288+O238+O169+O13</f>
        <v>21586900</v>
      </c>
    </row>
    <row r="323" spans="2:15" s="94" customFormat="1" hidden="1" x14ac:dyDescent="0.25">
      <c r="B323" s="6"/>
      <c r="C323" s="6"/>
      <c r="D323" s="17" t="s">
        <v>818</v>
      </c>
      <c r="E323" s="17"/>
      <c r="F323" s="1"/>
      <c r="G323" s="288"/>
      <c r="H323" s="288"/>
      <c r="I323" s="1" t="s">
        <v>369</v>
      </c>
      <c r="J323" s="288"/>
      <c r="K323" s="2">
        <f>K277</f>
        <v>200000</v>
      </c>
      <c r="L323" s="2">
        <f t="shared" ref="L323:O323" si="177">L277</f>
        <v>0</v>
      </c>
      <c r="M323" s="2">
        <f t="shared" si="177"/>
        <v>200000</v>
      </c>
      <c r="N323" s="2">
        <f t="shared" si="177"/>
        <v>0</v>
      </c>
      <c r="O323" s="2">
        <f t="shared" si="177"/>
        <v>200000</v>
      </c>
    </row>
    <row r="324" spans="2:15" s="94" customFormat="1" hidden="1" x14ac:dyDescent="0.25">
      <c r="B324" s="6"/>
      <c r="C324" s="6"/>
      <c r="D324" s="17" t="s">
        <v>819</v>
      </c>
      <c r="E324" s="17"/>
      <c r="F324" s="1"/>
      <c r="G324" s="288"/>
      <c r="H324" s="288"/>
      <c r="I324" s="1" t="s">
        <v>621</v>
      </c>
      <c r="J324" s="288"/>
      <c r="K324" s="2">
        <f>K301</f>
        <v>18000</v>
      </c>
      <c r="L324" s="2">
        <f t="shared" ref="L324:O324" si="178">L301</f>
        <v>0</v>
      </c>
      <c r="M324" s="2">
        <f t="shared" si="178"/>
        <v>18000</v>
      </c>
      <c r="N324" s="2">
        <f t="shared" si="178"/>
        <v>0</v>
      </c>
      <c r="O324" s="2">
        <f t="shared" si="178"/>
        <v>18000</v>
      </c>
    </row>
    <row r="325" spans="2:15" s="94" customFormat="1" hidden="1" x14ac:dyDescent="0.25">
      <c r="B325" s="6"/>
      <c r="C325" s="6"/>
      <c r="D325" s="17" t="s">
        <v>819</v>
      </c>
      <c r="E325" s="17"/>
      <c r="F325" s="1"/>
      <c r="G325" s="288"/>
      <c r="H325" s="288"/>
      <c r="I325" s="1" t="s">
        <v>617</v>
      </c>
      <c r="J325" s="288"/>
      <c r="K325" s="2">
        <f>K22</f>
        <v>2500</v>
      </c>
      <c r="L325" s="2">
        <f>L22</f>
        <v>0</v>
      </c>
      <c r="M325" s="2">
        <f>M22</f>
        <v>2500</v>
      </c>
      <c r="N325" s="2">
        <f>N22</f>
        <v>0</v>
      </c>
      <c r="O325" s="2">
        <f>O22</f>
        <v>2500</v>
      </c>
    </row>
    <row r="326" spans="2:15" s="94" customFormat="1" hidden="1" x14ac:dyDescent="0.25">
      <c r="B326" s="6"/>
      <c r="C326" s="6"/>
      <c r="D326" s="17" t="s">
        <v>818</v>
      </c>
      <c r="E326" s="17"/>
      <c r="F326" s="1"/>
      <c r="G326" s="288"/>
      <c r="H326" s="288"/>
      <c r="I326" s="1" t="s">
        <v>345</v>
      </c>
      <c r="J326" s="288"/>
      <c r="K326" s="2">
        <f>K107</f>
        <v>2580900</v>
      </c>
      <c r="L326" s="2">
        <f>L107</f>
        <v>0</v>
      </c>
      <c r="M326" s="2">
        <f>M107</f>
        <v>2580900</v>
      </c>
      <c r="N326" s="2">
        <f>N107</f>
        <v>0</v>
      </c>
      <c r="O326" s="2">
        <f>O107</f>
        <v>2580900</v>
      </c>
    </row>
    <row r="327" spans="2:15" s="94" customFormat="1" hidden="1" x14ac:dyDescent="0.25">
      <c r="B327" s="6"/>
      <c r="C327" s="6"/>
      <c r="D327" s="17" t="s">
        <v>818</v>
      </c>
      <c r="E327" s="17"/>
      <c r="F327" s="1"/>
      <c r="G327" s="288"/>
      <c r="H327" s="288"/>
      <c r="I327" s="1" t="s">
        <v>814</v>
      </c>
      <c r="J327" s="288"/>
      <c r="K327" s="2">
        <f>K110</f>
        <v>157900</v>
      </c>
      <c r="L327" s="2">
        <f>L110</f>
        <v>0</v>
      </c>
      <c r="M327" s="2">
        <f>M110</f>
        <v>157900</v>
      </c>
      <c r="N327" s="2">
        <f>N110</f>
        <v>0</v>
      </c>
      <c r="O327" s="2">
        <f>O110</f>
        <v>157900</v>
      </c>
    </row>
    <row r="328" spans="2:15" s="94" customFormat="1" hidden="1" x14ac:dyDescent="0.25">
      <c r="B328" s="6"/>
      <c r="C328" s="6"/>
      <c r="D328" s="17" t="s">
        <v>820</v>
      </c>
      <c r="E328" s="17"/>
      <c r="F328" s="1"/>
      <c r="G328" s="288"/>
      <c r="H328" s="288"/>
      <c r="I328" s="1" t="s">
        <v>815</v>
      </c>
      <c r="J328" s="288"/>
      <c r="K328" s="2">
        <f>K113</f>
        <v>8947680</v>
      </c>
      <c r="L328" s="2">
        <f>L113</f>
        <v>0</v>
      </c>
      <c r="M328" s="2">
        <f>M113</f>
        <v>8947680</v>
      </c>
      <c r="N328" s="2">
        <f>N113</f>
        <v>0</v>
      </c>
      <c r="O328" s="2">
        <f>O113</f>
        <v>8947680</v>
      </c>
    </row>
    <row r="329" spans="2:15" s="94" customFormat="1" hidden="1" x14ac:dyDescent="0.25">
      <c r="B329" s="6"/>
      <c r="C329" s="6"/>
      <c r="D329" s="17" t="s">
        <v>819</v>
      </c>
      <c r="E329" s="17"/>
      <c r="F329" s="1"/>
      <c r="G329" s="288"/>
      <c r="H329" s="288"/>
      <c r="I329" s="1" t="s">
        <v>816</v>
      </c>
      <c r="J329" s="288"/>
      <c r="K329" s="2">
        <f>K116</f>
        <v>2860620</v>
      </c>
      <c r="L329" s="2">
        <f>L116</f>
        <v>0</v>
      </c>
      <c r="M329" s="2">
        <f>M116</f>
        <v>2860620</v>
      </c>
      <c r="N329" s="2">
        <f>N116</f>
        <v>0</v>
      </c>
      <c r="O329" s="2">
        <f>O116</f>
        <v>2860620</v>
      </c>
    </row>
    <row r="330" spans="2:15" s="94" customFormat="1" hidden="1" x14ac:dyDescent="0.25">
      <c r="B330" s="6"/>
      <c r="C330" s="6"/>
      <c r="D330" s="17" t="s">
        <v>818</v>
      </c>
      <c r="E330" s="17"/>
      <c r="F330" s="1"/>
      <c r="G330" s="288"/>
      <c r="H330" s="288"/>
      <c r="I330" s="1" t="s">
        <v>355</v>
      </c>
      <c r="J330" s="288"/>
      <c r="K330" s="2">
        <f>K172</f>
        <v>11495900</v>
      </c>
      <c r="L330" s="2">
        <f>L172</f>
        <v>0</v>
      </c>
      <c r="M330" s="2">
        <f>M172</f>
        <v>11495900</v>
      </c>
      <c r="N330" s="2">
        <f>N172</f>
        <v>0</v>
      </c>
      <c r="O330" s="2">
        <f>O172</f>
        <v>11495900</v>
      </c>
    </row>
    <row r="331" spans="2:15" s="94" customFormat="1" hidden="1" x14ac:dyDescent="0.25">
      <c r="B331" s="6"/>
      <c r="C331" s="6"/>
      <c r="D331" s="17" t="s">
        <v>818</v>
      </c>
      <c r="E331" s="17"/>
      <c r="F331" s="1"/>
      <c r="G331" s="288"/>
      <c r="H331" s="288"/>
      <c r="I331" s="1" t="s">
        <v>356</v>
      </c>
      <c r="J331" s="288"/>
      <c r="K331" s="2">
        <f>K175</f>
        <v>13985000</v>
      </c>
      <c r="L331" s="2">
        <f>L175</f>
        <v>0</v>
      </c>
      <c r="M331" s="2">
        <f>M175</f>
        <v>13985000</v>
      </c>
      <c r="N331" s="2">
        <f>N175</f>
        <v>-49248</v>
      </c>
      <c r="O331" s="2">
        <f>O175</f>
        <v>13935752</v>
      </c>
    </row>
    <row r="332" spans="2:15" s="94" customFormat="1" hidden="1" x14ac:dyDescent="0.25">
      <c r="B332" s="6"/>
      <c r="C332" s="6"/>
      <c r="D332" s="17" t="s">
        <v>818</v>
      </c>
      <c r="E332" s="17"/>
      <c r="F332" s="1"/>
      <c r="G332" s="288"/>
      <c r="H332" s="288"/>
      <c r="I332" s="1" t="s">
        <v>357</v>
      </c>
      <c r="J332" s="288"/>
      <c r="K332" s="2">
        <f>K178</f>
        <v>8331600</v>
      </c>
      <c r="L332" s="2">
        <f>L178</f>
        <v>0</v>
      </c>
      <c r="M332" s="2">
        <f>M178</f>
        <v>8331600</v>
      </c>
      <c r="N332" s="2">
        <f>N178</f>
        <v>0</v>
      </c>
      <c r="O332" s="2">
        <f>O178</f>
        <v>8331600</v>
      </c>
    </row>
    <row r="333" spans="2:15" s="94" customFormat="1" hidden="1" x14ac:dyDescent="0.25">
      <c r="B333" s="6"/>
      <c r="C333" s="6"/>
      <c r="D333" s="17" t="s">
        <v>818</v>
      </c>
      <c r="E333" s="17"/>
      <c r="F333" s="1"/>
      <c r="G333" s="288"/>
      <c r="H333" s="288"/>
      <c r="I333" s="1" t="s">
        <v>360</v>
      </c>
      <c r="J333" s="288"/>
      <c r="K333" s="2">
        <f>K181</f>
        <v>9831800</v>
      </c>
      <c r="L333" s="2">
        <f>L181</f>
        <v>0</v>
      </c>
      <c r="M333" s="2">
        <f>M181</f>
        <v>9831800</v>
      </c>
      <c r="N333" s="2">
        <f>N181</f>
        <v>57314</v>
      </c>
      <c r="O333" s="2">
        <f>O181</f>
        <v>9889114</v>
      </c>
    </row>
    <row r="334" spans="2:15" s="94" customFormat="1" hidden="1" x14ac:dyDescent="0.25">
      <c r="B334" s="6"/>
      <c r="C334" s="6"/>
      <c r="D334" s="17" t="s">
        <v>783</v>
      </c>
      <c r="E334" s="17"/>
      <c r="F334" s="1"/>
      <c r="G334" s="288"/>
      <c r="H334" s="288"/>
      <c r="I334" s="1" t="s">
        <v>790</v>
      </c>
      <c r="J334" s="288"/>
      <c r="K334" s="2">
        <f>K25</f>
        <v>0</v>
      </c>
      <c r="L334" s="2">
        <f>L25</f>
        <v>4802500</v>
      </c>
      <c r="M334" s="2">
        <f>M25</f>
        <v>4802500</v>
      </c>
      <c r="N334" s="2">
        <f>N25</f>
        <v>0</v>
      </c>
      <c r="O334" s="2">
        <f>O25</f>
        <v>4802500</v>
      </c>
    </row>
    <row r="335" spans="2:15" s="94" customFormat="1" hidden="1" x14ac:dyDescent="0.25">
      <c r="B335" s="6"/>
      <c r="C335" s="6"/>
      <c r="D335" s="17" t="s">
        <v>818</v>
      </c>
      <c r="E335" s="17"/>
      <c r="F335" s="1"/>
      <c r="G335" s="288"/>
      <c r="H335" s="288"/>
      <c r="I335" s="1" t="s">
        <v>348</v>
      </c>
      <c r="J335" s="288"/>
      <c r="K335" s="2">
        <f>K133</f>
        <v>15000</v>
      </c>
      <c r="L335" s="2">
        <f>L133</f>
        <v>0</v>
      </c>
      <c r="M335" s="2">
        <f>M133</f>
        <v>15000</v>
      </c>
      <c r="N335" s="2">
        <f>N133</f>
        <v>0</v>
      </c>
      <c r="O335" s="2">
        <f>O133</f>
        <v>15000</v>
      </c>
    </row>
    <row r="336" spans="2:15" s="94" customFormat="1" hidden="1" x14ac:dyDescent="0.25">
      <c r="B336" s="6"/>
      <c r="C336" s="6"/>
      <c r="D336" s="17" t="s">
        <v>818</v>
      </c>
      <c r="E336" s="17"/>
      <c r="F336" s="1"/>
      <c r="G336" s="288"/>
      <c r="H336" s="288"/>
      <c r="I336" s="1" t="s">
        <v>829</v>
      </c>
      <c r="J336" s="288"/>
      <c r="K336" s="2">
        <f>K28</f>
        <v>0</v>
      </c>
      <c r="L336" s="2">
        <f>L28</f>
        <v>0</v>
      </c>
      <c r="M336" s="2">
        <f>M28</f>
        <v>0</v>
      </c>
      <c r="N336" s="2">
        <f>N28</f>
        <v>700000</v>
      </c>
      <c r="O336" s="2">
        <f>O28</f>
        <v>700000</v>
      </c>
    </row>
    <row r="337" spans="2:15" s="94" customFormat="1" hidden="1" x14ac:dyDescent="0.25">
      <c r="B337" s="6"/>
      <c r="C337" s="6"/>
      <c r="D337" s="17" t="s">
        <v>818</v>
      </c>
      <c r="E337" s="17"/>
      <c r="F337" s="1"/>
      <c r="G337" s="288"/>
      <c r="H337" s="288"/>
      <c r="I337" s="20" t="s">
        <v>339</v>
      </c>
      <c r="J337" s="288"/>
      <c r="K337" s="2">
        <f>K31</f>
        <v>1332400</v>
      </c>
      <c r="L337" s="2">
        <f>L31</f>
        <v>10900</v>
      </c>
      <c r="M337" s="2">
        <f>M31</f>
        <v>1343300</v>
      </c>
      <c r="N337" s="2">
        <f>N31</f>
        <v>0</v>
      </c>
      <c r="O337" s="2">
        <f>O31</f>
        <v>1343300</v>
      </c>
    </row>
    <row r="338" spans="2:15" s="94" customFormat="1" hidden="1" x14ac:dyDescent="0.25">
      <c r="B338" s="6"/>
      <c r="C338" s="6"/>
      <c r="D338" s="17" t="s">
        <v>783</v>
      </c>
      <c r="E338" s="17"/>
      <c r="F338" s="1"/>
      <c r="G338" s="288"/>
      <c r="H338" s="288"/>
      <c r="I338" s="1" t="s">
        <v>334</v>
      </c>
      <c r="J338" s="288"/>
      <c r="K338" s="2">
        <f>K36+K190+K246</f>
        <v>851700</v>
      </c>
      <c r="L338" s="2">
        <f>L36+L190+L246</f>
        <v>0</v>
      </c>
      <c r="M338" s="2">
        <f>M36+M190+M246</f>
        <v>851700</v>
      </c>
      <c r="N338" s="2">
        <f>N36+N190+N246</f>
        <v>-59619</v>
      </c>
      <c r="O338" s="2">
        <f>O36+O190+O246</f>
        <v>792081</v>
      </c>
    </row>
    <row r="339" spans="2:15" s="94" customFormat="1" hidden="1" x14ac:dyDescent="0.25">
      <c r="B339" s="6"/>
      <c r="C339" s="6"/>
      <c r="D339" s="17" t="s">
        <v>783</v>
      </c>
      <c r="E339" s="17"/>
      <c r="F339" s="1"/>
      <c r="G339" s="1"/>
      <c r="H339" s="1"/>
      <c r="I339" s="1" t="s">
        <v>620</v>
      </c>
      <c r="J339" s="288"/>
      <c r="K339" s="2">
        <f>K41</f>
        <v>11140</v>
      </c>
      <c r="L339" s="2">
        <f>L41</f>
        <v>0</v>
      </c>
      <c r="M339" s="2">
        <f>M41</f>
        <v>11140</v>
      </c>
      <c r="N339" s="2">
        <f>N41</f>
        <v>0</v>
      </c>
      <c r="O339" s="2">
        <f>O41</f>
        <v>11140</v>
      </c>
    </row>
    <row r="340" spans="2:15" s="94" customFormat="1" hidden="1" x14ac:dyDescent="0.25">
      <c r="B340" s="6"/>
      <c r="C340" s="6"/>
      <c r="D340" s="17" t="s">
        <v>783</v>
      </c>
      <c r="E340" s="17"/>
      <c r="F340" s="1"/>
      <c r="G340" s="1"/>
      <c r="H340" s="1"/>
      <c r="I340" s="1" t="s">
        <v>344</v>
      </c>
      <c r="J340" s="288"/>
      <c r="K340" s="2">
        <f>K119+K249</f>
        <v>104940</v>
      </c>
      <c r="L340" s="2">
        <f>L119+L249</f>
        <v>0</v>
      </c>
      <c r="M340" s="2">
        <f>M119+M249</f>
        <v>104940</v>
      </c>
      <c r="N340" s="2">
        <f>N119+N249</f>
        <v>0</v>
      </c>
      <c r="O340" s="2">
        <f>O119+O249</f>
        <v>104940</v>
      </c>
    </row>
    <row r="341" spans="2:15" s="94" customFormat="1" hidden="1" x14ac:dyDescent="0.25">
      <c r="B341" s="6"/>
      <c r="C341" s="6"/>
      <c r="D341" s="17" t="s">
        <v>783</v>
      </c>
      <c r="E341" s="17"/>
      <c r="F341" s="1"/>
      <c r="G341" s="1"/>
      <c r="H341" s="1"/>
      <c r="I341" s="1" t="s">
        <v>358</v>
      </c>
      <c r="J341" s="288"/>
      <c r="K341" s="2">
        <f>K195</f>
        <v>66777336</v>
      </c>
      <c r="L341" s="2">
        <f>L195</f>
        <v>0</v>
      </c>
      <c r="M341" s="2">
        <f>M195</f>
        <v>66777336</v>
      </c>
      <c r="N341" s="2">
        <f>N195</f>
        <v>0</v>
      </c>
      <c r="O341" s="2">
        <f>O195</f>
        <v>66777336</v>
      </c>
    </row>
    <row r="342" spans="2:15" s="94" customFormat="1" hidden="1" x14ac:dyDescent="0.25">
      <c r="B342" s="6"/>
      <c r="C342" s="6"/>
      <c r="D342" s="17" t="s">
        <v>783</v>
      </c>
      <c r="E342" s="17"/>
      <c r="F342" s="1"/>
      <c r="G342" s="1"/>
      <c r="H342" s="1"/>
      <c r="I342" s="1" t="s">
        <v>353</v>
      </c>
      <c r="J342" s="288"/>
      <c r="K342" s="2">
        <f>K198</f>
        <v>21495027</v>
      </c>
      <c r="L342" s="2">
        <f>L198</f>
        <v>0</v>
      </c>
      <c r="M342" s="2">
        <f>M198</f>
        <v>21495027</v>
      </c>
      <c r="N342" s="2">
        <f>N198</f>
        <v>0</v>
      </c>
      <c r="O342" s="2">
        <f>O198</f>
        <v>21495027</v>
      </c>
    </row>
    <row r="343" spans="2:15" s="94" customFormat="1" hidden="1" x14ac:dyDescent="0.25">
      <c r="B343" s="6"/>
      <c r="C343" s="6"/>
      <c r="D343" s="17" t="s">
        <v>783</v>
      </c>
      <c r="E343" s="17"/>
      <c r="F343" s="1"/>
      <c r="G343" s="1"/>
      <c r="H343" s="1"/>
      <c r="I343" s="1" t="s">
        <v>809</v>
      </c>
      <c r="J343" s="288"/>
      <c r="K343" s="2">
        <f>K201</f>
        <v>0</v>
      </c>
      <c r="L343" s="2">
        <f>L201</f>
        <v>0</v>
      </c>
      <c r="M343" s="2">
        <f>M201</f>
        <v>0</v>
      </c>
      <c r="N343" s="2">
        <f>N201</f>
        <v>808050</v>
      </c>
      <c r="O343" s="2">
        <f>O201</f>
        <v>808050</v>
      </c>
    </row>
    <row r="344" spans="2:15" s="94" customFormat="1" hidden="1" x14ac:dyDescent="0.25">
      <c r="B344" s="6"/>
      <c r="C344" s="6"/>
      <c r="D344" s="17" t="s">
        <v>783</v>
      </c>
      <c r="E344" s="17"/>
      <c r="F344" s="1"/>
      <c r="G344" s="1"/>
      <c r="H344" s="1"/>
      <c r="I344" s="1" t="s">
        <v>354</v>
      </c>
      <c r="J344" s="288"/>
      <c r="K344" s="2">
        <f>K204</f>
        <v>4690260</v>
      </c>
      <c r="L344" s="2">
        <f>L204</f>
        <v>0</v>
      </c>
      <c r="M344" s="2">
        <f>M204</f>
        <v>4690260</v>
      </c>
      <c r="N344" s="2">
        <f>N204</f>
        <v>0</v>
      </c>
      <c r="O344" s="2">
        <f>O204</f>
        <v>4690260</v>
      </c>
    </row>
    <row r="345" spans="2:15" s="94" customFormat="1" hidden="1" x14ac:dyDescent="0.25">
      <c r="B345" s="6"/>
      <c r="C345" s="6"/>
      <c r="D345" s="17" t="s">
        <v>783</v>
      </c>
      <c r="E345" s="17"/>
      <c r="F345" s="1"/>
      <c r="G345" s="1"/>
      <c r="H345" s="1"/>
      <c r="I345" s="1" t="s">
        <v>363</v>
      </c>
      <c r="J345" s="288"/>
      <c r="K345" s="2">
        <f>K209</f>
        <v>836736</v>
      </c>
      <c r="L345" s="2">
        <f>L209</f>
        <v>0</v>
      </c>
      <c r="M345" s="2">
        <f>M209</f>
        <v>836736</v>
      </c>
      <c r="N345" s="2">
        <f>N209</f>
        <v>249959</v>
      </c>
      <c r="O345" s="2">
        <f>O209</f>
        <v>1086695</v>
      </c>
    </row>
    <row r="346" spans="2:15" s="94" customFormat="1" hidden="1" x14ac:dyDescent="0.25">
      <c r="B346" s="6"/>
      <c r="C346" s="6"/>
      <c r="D346" s="17" t="s">
        <v>783</v>
      </c>
      <c r="E346" s="17"/>
      <c r="F346" s="1"/>
      <c r="G346" s="1"/>
      <c r="H346" s="1"/>
      <c r="I346" s="1" t="s">
        <v>365</v>
      </c>
      <c r="J346" s="288"/>
      <c r="K346" s="2">
        <f>K257</f>
        <v>8607000</v>
      </c>
      <c r="L346" s="2">
        <f>L257</f>
        <v>0</v>
      </c>
      <c r="M346" s="2">
        <f>M257</f>
        <v>8607000</v>
      </c>
      <c r="N346" s="2">
        <f>N257</f>
        <v>-860700</v>
      </c>
      <c r="O346" s="2">
        <f>O257</f>
        <v>7746300</v>
      </c>
    </row>
    <row r="347" spans="2:15" s="94" customFormat="1" hidden="1" x14ac:dyDescent="0.25">
      <c r="B347" s="6"/>
      <c r="C347" s="6"/>
      <c r="D347" s="17" t="s">
        <v>783</v>
      </c>
      <c r="E347" s="17"/>
      <c r="F347" s="1"/>
      <c r="G347" s="1"/>
      <c r="H347" s="1"/>
      <c r="I347" s="1" t="s">
        <v>366</v>
      </c>
      <c r="J347" s="288"/>
      <c r="K347" s="2">
        <f>K253</f>
        <v>5882000</v>
      </c>
      <c r="L347" s="2">
        <f>L253</f>
        <v>0</v>
      </c>
      <c r="M347" s="2">
        <f>M253</f>
        <v>5882000</v>
      </c>
      <c r="N347" s="2">
        <f>N253</f>
        <v>0</v>
      </c>
      <c r="O347" s="2">
        <f>O253</f>
        <v>5882000</v>
      </c>
    </row>
    <row r="348" spans="2:15" s="94" customFormat="1" hidden="1" x14ac:dyDescent="0.25">
      <c r="B348" s="6"/>
      <c r="C348" s="6"/>
      <c r="D348" s="17" t="s">
        <v>783</v>
      </c>
      <c r="E348" s="17"/>
      <c r="F348" s="1"/>
      <c r="G348" s="1"/>
      <c r="H348" s="1"/>
      <c r="I348" s="1" t="s">
        <v>838</v>
      </c>
      <c r="J348" s="288"/>
      <c r="K348" s="2">
        <f>K262</f>
        <v>0</v>
      </c>
      <c r="L348" s="2">
        <f t="shared" ref="L348:O348" si="179">L262</f>
        <v>0</v>
      </c>
      <c r="M348" s="2">
        <f t="shared" si="179"/>
        <v>0</v>
      </c>
      <c r="N348" s="2">
        <f t="shared" si="179"/>
        <v>200000</v>
      </c>
      <c r="O348" s="2">
        <f t="shared" si="179"/>
        <v>200000</v>
      </c>
    </row>
    <row r="349" spans="2:15" s="94" customFormat="1" hidden="1" x14ac:dyDescent="0.25">
      <c r="B349" s="6"/>
      <c r="C349" s="6"/>
      <c r="D349" s="17" t="s">
        <v>818</v>
      </c>
      <c r="E349" s="17"/>
      <c r="F349" s="1"/>
      <c r="G349" s="1"/>
      <c r="H349" s="1"/>
      <c r="I349" s="1" t="s">
        <v>349</v>
      </c>
      <c r="J349" s="288"/>
      <c r="K349" s="2">
        <f>K146</f>
        <v>2587000</v>
      </c>
      <c r="L349" s="2">
        <f>L146</f>
        <v>0</v>
      </c>
      <c r="M349" s="2">
        <f>M146</f>
        <v>2587000</v>
      </c>
      <c r="N349" s="2">
        <f>N146</f>
        <v>115000</v>
      </c>
      <c r="O349" s="2">
        <f>O146</f>
        <v>2702000</v>
      </c>
    </row>
    <row r="350" spans="2:15" s="94" customFormat="1" hidden="1" x14ac:dyDescent="0.25">
      <c r="B350" s="6"/>
      <c r="C350" s="6"/>
      <c r="D350" s="17" t="s">
        <v>783</v>
      </c>
      <c r="E350" s="17"/>
      <c r="F350" s="1"/>
      <c r="G350" s="1"/>
      <c r="H350" s="1"/>
      <c r="I350" s="1" t="s">
        <v>361</v>
      </c>
      <c r="J350" s="288"/>
      <c r="K350" s="2">
        <f>K215</f>
        <v>7634300</v>
      </c>
      <c r="L350" s="2">
        <f>L215</f>
        <v>0</v>
      </c>
      <c r="M350" s="2">
        <f>M215</f>
        <v>7634300</v>
      </c>
      <c r="N350" s="2">
        <f>N215</f>
        <v>-46060</v>
      </c>
      <c r="O350" s="2">
        <f>O215</f>
        <v>7588240</v>
      </c>
    </row>
    <row r="351" spans="2:15" s="94" customFormat="1" hidden="1" x14ac:dyDescent="0.25">
      <c r="B351" s="6"/>
      <c r="C351" s="6"/>
      <c r="D351" s="17" t="s">
        <v>783</v>
      </c>
      <c r="E351" s="17"/>
      <c r="F351" s="1"/>
      <c r="G351" s="1"/>
      <c r="H351" s="1"/>
      <c r="I351" s="1" t="s">
        <v>362</v>
      </c>
      <c r="J351" s="288"/>
      <c r="K351" s="2">
        <f>K213</f>
        <v>93000</v>
      </c>
      <c r="L351" s="2">
        <f>L213</f>
        <v>0</v>
      </c>
      <c r="M351" s="2">
        <f>M213</f>
        <v>93000</v>
      </c>
      <c r="N351" s="2">
        <f>N213</f>
        <v>0</v>
      </c>
      <c r="O351" s="2">
        <f>O213</f>
        <v>93000</v>
      </c>
    </row>
    <row r="352" spans="2:15" s="94" customFormat="1" hidden="1" x14ac:dyDescent="0.25">
      <c r="B352" s="6"/>
      <c r="C352" s="6"/>
      <c r="D352" s="17" t="s">
        <v>818</v>
      </c>
      <c r="E352" s="17"/>
      <c r="F352" s="1"/>
      <c r="G352" s="1"/>
      <c r="H352" s="1"/>
      <c r="I352" s="1" t="s">
        <v>337</v>
      </c>
      <c r="J352" s="288"/>
      <c r="K352" s="2">
        <f>K44</f>
        <v>450000</v>
      </c>
      <c r="L352" s="2">
        <f>L44</f>
        <v>0</v>
      </c>
      <c r="M352" s="2">
        <f>M44</f>
        <v>450000</v>
      </c>
      <c r="N352" s="2">
        <f>N44</f>
        <v>0</v>
      </c>
      <c r="O352" s="2">
        <f>O44</f>
        <v>450000</v>
      </c>
    </row>
    <row r="353" spans="4:15" s="94" customFormat="1" hidden="1" x14ac:dyDescent="0.25">
      <c r="D353" s="17" t="s">
        <v>818</v>
      </c>
      <c r="E353" s="443"/>
      <c r="F353" s="444"/>
      <c r="G353" s="444"/>
      <c r="H353" s="444"/>
      <c r="I353" s="1" t="s">
        <v>338</v>
      </c>
      <c r="J353" s="445"/>
      <c r="K353" s="2">
        <f>K47</f>
        <v>1575000</v>
      </c>
      <c r="L353" s="2">
        <f>L47</f>
        <v>0</v>
      </c>
      <c r="M353" s="2">
        <f>M47</f>
        <v>1575000</v>
      </c>
      <c r="N353" s="2">
        <f>N47</f>
        <v>0</v>
      </c>
      <c r="O353" s="2">
        <f>O47</f>
        <v>1575000</v>
      </c>
    </row>
    <row r="354" spans="4:15" s="94" customFormat="1" hidden="1" x14ac:dyDescent="0.25">
      <c r="D354" s="17" t="s">
        <v>818</v>
      </c>
      <c r="E354" s="443"/>
      <c r="F354" s="444"/>
      <c r="G354" s="444"/>
      <c r="H354" s="444"/>
      <c r="I354" s="1" t="s">
        <v>352</v>
      </c>
      <c r="J354" s="445"/>
      <c r="K354" s="2">
        <f>K138</f>
        <v>260000</v>
      </c>
      <c r="L354" s="2">
        <f>L138</f>
        <v>0</v>
      </c>
      <c r="M354" s="2">
        <f>M138</f>
        <v>260000</v>
      </c>
      <c r="N354" s="2">
        <f>N138</f>
        <v>0</v>
      </c>
      <c r="O354" s="2">
        <f>O138</f>
        <v>260000</v>
      </c>
    </row>
    <row r="355" spans="4:15" s="94" customFormat="1" hidden="1" x14ac:dyDescent="0.25">
      <c r="D355" s="17" t="s">
        <v>820</v>
      </c>
      <c r="E355" s="443"/>
      <c r="F355" s="444"/>
      <c r="G355" s="444"/>
      <c r="H355" s="444"/>
      <c r="I355" s="1" t="s">
        <v>619</v>
      </c>
      <c r="J355" s="445"/>
      <c r="K355" s="2">
        <f>K141</f>
        <v>284000</v>
      </c>
      <c r="L355" s="2">
        <f>L141</f>
        <v>0</v>
      </c>
      <c r="M355" s="2">
        <f>M141</f>
        <v>284000</v>
      </c>
      <c r="N355" s="2">
        <f>N141</f>
        <v>0</v>
      </c>
      <c r="O355" s="2">
        <f>O141</f>
        <v>284000</v>
      </c>
    </row>
    <row r="356" spans="4:15" hidden="1" x14ac:dyDescent="0.25">
      <c r="D356" s="93" t="s">
        <v>783</v>
      </c>
      <c r="E356" s="93"/>
      <c r="F356" s="90"/>
      <c r="G356" s="90"/>
      <c r="H356" s="90"/>
      <c r="I356" s="20" t="s">
        <v>341</v>
      </c>
      <c r="J356" s="446"/>
      <c r="K356" s="2">
        <f>K50</f>
        <v>173500</v>
      </c>
      <c r="L356" s="2">
        <f>L50</f>
        <v>0</v>
      </c>
      <c r="M356" s="2">
        <f>M50</f>
        <v>173500</v>
      </c>
      <c r="N356" s="2">
        <f>N50</f>
        <v>-12145</v>
      </c>
      <c r="O356" s="2">
        <f>O50</f>
        <v>161355</v>
      </c>
    </row>
    <row r="357" spans="4:15" hidden="1" x14ac:dyDescent="0.25">
      <c r="D357" s="93" t="s">
        <v>818</v>
      </c>
      <c r="E357" s="93"/>
      <c r="F357" s="90"/>
      <c r="G357" s="90"/>
      <c r="H357" s="90"/>
      <c r="I357" s="20" t="s">
        <v>573</v>
      </c>
      <c r="J357" s="446"/>
      <c r="K357" s="2">
        <f>K55</f>
        <v>1572000</v>
      </c>
      <c r="L357" s="2">
        <f>L55</f>
        <v>763089</v>
      </c>
      <c r="M357" s="2">
        <f>M55</f>
        <v>2335089</v>
      </c>
      <c r="N357" s="2">
        <f>N55</f>
        <v>0</v>
      </c>
      <c r="O357" s="2">
        <f>O55</f>
        <v>2335089</v>
      </c>
    </row>
    <row r="358" spans="4:15" hidden="1" x14ac:dyDescent="0.25">
      <c r="D358" s="93" t="s">
        <v>818</v>
      </c>
      <c r="E358" s="93"/>
      <c r="F358" s="89"/>
      <c r="G358" s="89"/>
      <c r="H358" s="89"/>
      <c r="I358" s="89">
        <v>1891</v>
      </c>
      <c r="J358" s="93"/>
      <c r="K358" s="2">
        <f>K164</f>
        <v>100000</v>
      </c>
      <c r="L358" s="2">
        <f>L164</f>
        <v>0</v>
      </c>
      <c r="M358" s="2">
        <f>M164</f>
        <v>100000</v>
      </c>
      <c r="N358" s="2">
        <f>N164</f>
        <v>0</v>
      </c>
      <c r="O358" s="2">
        <f>O164</f>
        <v>100000</v>
      </c>
    </row>
    <row r="359" spans="4:15" hidden="1" x14ac:dyDescent="0.25">
      <c r="D359" s="93" t="s">
        <v>818</v>
      </c>
      <c r="E359" s="93"/>
      <c r="F359" s="89"/>
      <c r="G359" s="89"/>
      <c r="H359" s="89"/>
      <c r="I359" s="1" t="s">
        <v>335</v>
      </c>
      <c r="J359" s="93"/>
      <c r="K359" s="80">
        <f>K60</f>
        <v>2000000</v>
      </c>
      <c r="L359" s="80">
        <f>L60</f>
        <v>39999</v>
      </c>
      <c r="M359" s="80">
        <f>M60</f>
        <v>2039999</v>
      </c>
      <c r="N359" s="80">
        <f>N60</f>
        <v>0</v>
      </c>
      <c r="O359" s="80">
        <f>O60</f>
        <v>2039999</v>
      </c>
    </row>
    <row r="360" spans="4:15" hidden="1" x14ac:dyDescent="0.25">
      <c r="D360" s="93" t="s">
        <v>818</v>
      </c>
      <c r="E360" s="93"/>
      <c r="F360" s="89"/>
      <c r="G360" s="93"/>
      <c r="H360" s="93"/>
      <c r="I360" s="20" t="s">
        <v>336</v>
      </c>
      <c r="J360" s="93"/>
      <c r="K360" s="80">
        <f>K63</f>
        <v>300000</v>
      </c>
      <c r="L360" s="80">
        <f>L63</f>
        <v>0</v>
      </c>
      <c r="M360" s="80">
        <f>M63</f>
        <v>300000</v>
      </c>
      <c r="N360" s="80">
        <f>N63</f>
        <v>0</v>
      </c>
      <c r="O360" s="80">
        <f>O63</f>
        <v>300000</v>
      </c>
    </row>
    <row r="361" spans="4:15" hidden="1" x14ac:dyDescent="0.25">
      <c r="D361" s="93" t="s">
        <v>818</v>
      </c>
      <c r="E361" s="93"/>
      <c r="F361" s="89"/>
      <c r="G361" s="93"/>
      <c r="H361" s="93"/>
      <c r="I361" s="20" t="s">
        <v>343</v>
      </c>
      <c r="J361" s="93"/>
      <c r="K361" s="80">
        <f>K66+K224</f>
        <v>9324000</v>
      </c>
      <c r="L361" s="80">
        <f>L66+L224</f>
        <v>154200</v>
      </c>
      <c r="M361" s="80">
        <f>M66+M224</f>
        <v>9478200</v>
      </c>
      <c r="N361" s="80">
        <f>N66+N224</f>
        <v>-891470</v>
      </c>
      <c r="O361" s="80">
        <f>O66+O224</f>
        <v>8586730</v>
      </c>
    </row>
    <row r="362" spans="4:15" hidden="1" x14ac:dyDescent="0.25">
      <c r="D362" s="93" t="s">
        <v>818</v>
      </c>
      <c r="E362" s="93"/>
      <c r="F362" s="89"/>
      <c r="G362" s="93"/>
      <c r="H362" s="93"/>
      <c r="I362" s="20" t="s">
        <v>346</v>
      </c>
      <c r="J362" s="93"/>
      <c r="K362" s="80">
        <f>K122</f>
        <v>100000</v>
      </c>
      <c r="L362" s="80">
        <f>L122</f>
        <v>0</v>
      </c>
      <c r="M362" s="80">
        <f>M122</f>
        <v>100000</v>
      </c>
      <c r="N362" s="80">
        <f>N122</f>
        <v>0</v>
      </c>
      <c r="O362" s="80">
        <f>O122</f>
        <v>100000</v>
      </c>
    </row>
    <row r="363" spans="4:15" hidden="1" x14ac:dyDescent="0.25">
      <c r="D363" s="93" t="s">
        <v>818</v>
      </c>
      <c r="E363" s="93"/>
      <c r="F363" s="89"/>
      <c r="G363" s="93"/>
      <c r="H363" s="93"/>
      <c r="I363" s="20" t="s">
        <v>347</v>
      </c>
      <c r="J363" s="93"/>
      <c r="K363" s="80">
        <f>K125</f>
        <v>200000</v>
      </c>
      <c r="L363" s="80">
        <f>L125</f>
        <v>605000</v>
      </c>
      <c r="M363" s="80">
        <f>M125</f>
        <v>805000</v>
      </c>
      <c r="N363" s="80">
        <f>N125</f>
        <v>0</v>
      </c>
      <c r="O363" s="80">
        <f>O125</f>
        <v>805000</v>
      </c>
    </row>
    <row r="364" spans="4:15" hidden="1" x14ac:dyDescent="0.25">
      <c r="D364" s="93" t="s">
        <v>818</v>
      </c>
      <c r="E364" s="93"/>
      <c r="F364" s="89"/>
      <c r="G364" s="93"/>
      <c r="H364" s="93"/>
      <c r="I364" s="20" t="s">
        <v>340</v>
      </c>
      <c r="J364" s="93"/>
      <c r="K364" s="80">
        <f>K100</f>
        <v>55000</v>
      </c>
      <c r="L364" s="80">
        <f>L100</f>
        <v>0</v>
      </c>
      <c r="M364" s="80">
        <f>M100</f>
        <v>55000</v>
      </c>
      <c r="N364" s="80">
        <f>N100</f>
        <v>0</v>
      </c>
      <c r="O364" s="80">
        <f>O100</f>
        <v>55000</v>
      </c>
    </row>
    <row r="365" spans="4:15" hidden="1" x14ac:dyDescent="0.25">
      <c r="D365" s="93" t="s">
        <v>818</v>
      </c>
      <c r="E365" s="93"/>
      <c r="F365" s="89"/>
      <c r="G365" s="93"/>
      <c r="H365" s="93"/>
      <c r="I365" s="20" t="s">
        <v>781</v>
      </c>
      <c r="J365" s="93"/>
      <c r="K365" s="80">
        <f>K102</f>
        <v>0</v>
      </c>
      <c r="L365" s="80">
        <f>L102</f>
        <v>1300000</v>
      </c>
      <c r="M365" s="80">
        <f>M102</f>
        <v>1300000</v>
      </c>
      <c r="N365" s="80">
        <f>N102</f>
        <v>0</v>
      </c>
      <c r="O365" s="80">
        <f>O102</f>
        <v>1300000</v>
      </c>
    </row>
    <row r="366" spans="4:15" hidden="1" x14ac:dyDescent="0.25">
      <c r="D366" s="93" t="s">
        <v>818</v>
      </c>
      <c r="E366" s="93"/>
      <c r="F366" s="89"/>
      <c r="G366" s="93"/>
      <c r="H366" s="93"/>
      <c r="I366" s="20" t="s">
        <v>342</v>
      </c>
      <c r="J366" s="93"/>
      <c r="K366" s="80">
        <f>K71</f>
        <v>700000</v>
      </c>
      <c r="L366" s="80">
        <f>L71</f>
        <v>10570</v>
      </c>
      <c r="M366" s="80">
        <f>M71</f>
        <v>710570</v>
      </c>
      <c r="N366" s="80">
        <f>N71</f>
        <v>0</v>
      </c>
      <c r="O366" s="80">
        <f>O71</f>
        <v>710570</v>
      </c>
    </row>
    <row r="367" spans="4:15" hidden="1" x14ac:dyDescent="0.25">
      <c r="D367" s="93" t="s">
        <v>818</v>
      </c>
      <c r="E367" s="93"/>
      <c r="F367" s="89"/>
      <c r="G367" s="93"/>
      <c r="H367" s="93"/>
      <c r="I367" s="20" t="s">
        <v>765</v>
      </c>
      <c r="J367" s="93"/>
      <c r="K367" s="80">
        <f>K74</f>
        <v>0</v>
      </c>
      <c r="L367" s="80">
        <f>L74</f>
        <v>15000</v>
      </c>
      <c r="M367" s="80">
        <f>M74</f>
        <v>15000</v>
      </c>
      <c r="N367" s="80">
        <f>N74</f>
        <v>0</v>
      </c>
      <c r="O367" s="80">
        <f>O74</f>
        <v>15000</v>
      </c>
    </row>
    <row r="368" spans="4:15" hidden="1" x14ac:dyDescent="0.25">
      <c r="D368" s="93" t="s">
        <v>818</v>
      </c>
      <c r="E368" s="93"/>
      <c r="F368" s="89"/>
      <c r="G368" s="93"/>
      <c r="H368" s="93"/>
      <c r="I368" s="20" t="s">
        <v>351</v>
      </c>
      <c r="J368" s="93"/>
      <c r="K368" s="80">
        <f>K149</f>
        <v>270000</v>
      </c>
      <c r="L368" s="80">
        <f>L149</f>
        <v>0</v>
      </c>
      <c r="M368" s="80">
        <f>M149</f>
        <v>270000</v>
      </c>
      <c r="N368" s="80">
        <f>N149</f>
        <v>0</v>
      </c>
      <c r="O368" s="80">
        <f>O149</f>
        <v>270000</v>
      </c>
    </row>
    <row r="369" spans="4:15" hidden="1" x14ac:dyDescent="0.25">
      <c r="D369" s="93" t="s">
        <v>818</v>
      </c>
      <c r="E369" s="93"/>
      <c r="F369" s="89"/>
      <c r="G369" s="93"/>
      <c r="H369" s="93"/>
      <c r="I369" s="20" t="s">
        <v>797</v>
      </c>
      <c r="J369" s="93"/>
      <c r="K369" s="80">
        <f>K77</f>
        <v>0</v>
      </c>
      <c r="L369" s="80">
        <f>L77</f>
        <v>632468</v>
      </c>
      <c r="M369" s="80">
        <f>M77</f>
        <v>632468</v>
      </c>
      <c r="N369" s="80">
        <f>N77</f>
        <v>0</v>
      </c>
      <c r="O369" s="80">
        <f>O77</f>
        <v>632468</v>
      </c>
    </row>
    <row r="370" spans="4:15" hidden="1" x14ac:dyDescent="0.25">
      <c r="D370" s="93" t="s">
        <v>818</v>
      </c>
      <c r="E370" s="93"/>
      <c r="F370" s="89"/>
      <c r="G370" s="93"/>
      <c r="H370" s="93"/>
      <c r="I370" s="89">
        <v>2224</v>
      </c>
      <c r="J370" s="93"/>
      <c r="K370" s="80">
        <f>K227</f>
        <v>1038500</v>
      </c>
      <c r="L370" s="80">
        <f>L227</f>
        <v>171280</v>
      </c>
      <c r="M370" s="80">
        <f>M227</f>
        <v>1209780</v>
      </c>
      <c r="N370" s="80">
        <f>N227</f>
        <v>0</v>
      </c>
      <c r="O370" s="80">
        <f>O227</f>
        <v>1209780</v>
      </c>
    </row>
    <row r="371" spans="4:15" hidden="1" x14ac:dyDescent="0.25">
      <c r="D371" s="93" t="s">
        <v>818</v>
      </c>
      <c r="E371" s="93"/>
      <c r="F371" s="89"/>
      <c r="G371" s="93"/>
      <c r="H371" s="93"/>
      <c r="I371" s="20" t="s">
        <v>817</v>
      </c>
      <c r="J371" s="93"/>
      <c r="K371" s="80">
        <f>K159</f>
        <v>582660</v>
      </c>
      <c r="L371" s="80">
        <f>L159</f>
        <v>0</v>
      </c>
      <c r="M371" s="80">
        <f>M159</f>
        <v>582660</v>
      </c>
      <c r="N371" s="80">
        <f>N159</f>
        <v>0</v>
      </c>
      <c r="O371" s="80">
        <f>O159</f>
        <v>582660</v>
      </c>
    </row>
    <row r="372" spans="4:15" hidden="1" x14ac:dyDescent="0.25">
      <c r="D372" s="93" t="s">
        <v>818</v>
      </c>
      <c r="E372" s="93"/>
      <c r="F372" s="89"/>
      <c r="G372" s="93"/>
      <c r="H372" s="93"/>
      <c r="I372" s="20" t="s">
        <v>833</v>
      </c>
      <c r="J372" s="93"/>
      <c r="K372" s="80">
        <f>K266</f>
        <v>0</v>
      </c>
      <c r="L372" s="80">
        <f t="shared" ref="L372:O372" si="180">L266</f>
        <v>0</v>
      </c>
      <c r="M372" s="80">
        <f t="shared" si="180"/>
        <v>0</v>
      </c>
      <c r="N372" s="80">
        <f t="shared" si="180"/>
        <v>300</v>
      </c>
      <c r="O372" s="80">
        <f t="shared" si="180"/>
        <v>300</v>
      </c>
    </row>
    <row r="373" spans="4:15" hidden="1" x14ac:dyDescent="0.25">
      <c r="D373" s="93" t="s">
        <v>818</v>
      </c>
      <c r="E373" s="93"/>
      <c r="F373" s="89"/>
      <c r="G373" s="93"/>
      <c r="H373" s="93"/>
      <c r="I373" s="89">
        <v>2231</v>
      </c>
      <c r="J373" s="93"/>
      <c r="K373" s="80">
        <f>K230</f>
        <v>122200</v>
      </c>
      <c r="L373" s="80">
        <f>L230</f>
        <v>0</v>
      </c>
      <c r="M373" s="80">
        <f>M230</f>
        <v>122200</v>
      </c>
      <c r="N373" s="80">
        <f>N230</f>
        <v>0</v>
      </c>
      <c r="O373" s="80">
        <f>O230</f>
        <v>122200</v>
      </c>
    </row>
    <row r="374" spans="4:15" hidden="1" x14ac:dyDescent="0.25">
      <c r="D374" s="93" t="s">
        <v>821</v>
      </c>
      <c r="E374" s="93"/>
      <c r="F374" s="89"/>
      <c r="G374" s="93"/>
      <c r="H374" s="93"/>
      <c r="I374" s="89">
        <v>5082</v>
      </c>
      <c r="J374" s="93"/>
      <c r="K374" s="80">
        <f>K154</f>
        <v>8011575</v>
      </c>
      <c r="L374" s="80">
        <f>L154</f>
        <v>0</v>
      </c>
      <c r="M374" s="80">
        <f>M154</f>
        <v>8011575</v>
      </c>
      <c r="N374" s="80">
        <f>N154</f>
        <v>0</v>
      </c>
      <c r="O374" s="80">
        <f>O154</f>
        <v>8011575</v>
      </c>
    </row>
    <row r="375" spans="4:15" hidden="1" x14ac:dyDescent="0.25">
      <c r="D375" s="93" t="s">
        <v>821</v>
      </c>
      <c r="E375" s="93"/>
      <c r="F375" s="89"/>
      <c r="G375" s="93"/>
      <c r="H375" s="93"/>
      <c r="I375" s="289">
        <v>5118</v>
      </c>
      <c r="J375" s="93"/>
      <c r="K375" s="80">
        <f>K80+K269</f>
        <v>1229519</v>
      </c>
      <c r="L375" s="80">
        <f>L80+L269</f>
        <v>0</v>
      </c>
      <c r="M375" s="80">
        <f>M80+M269</f>
        <v>1229519</v>
      </c>
      <c r="N375" s="80">
        <f>N80+N269</f>
        <v>-113804</v>
      </c>
      <c r="O375" s="80">
        <f>O80+O269</f>
        <v>1115715</v>
      </c>
    </row>
    <row r="376" spans="4:15" ht="12.75" hidden="1" customHeight="1" x14ac:dyDescent="0.25">
      <c r="D376" s="93" t="s">
        <v>821</v>
      </c>
      <c r="E376" s="93"/>
      <c r="F376" s="89"/>
      <c r="G376" s="93"/>
      <c r="H376" s="93"/>
      <c r="I376" s="89">
        <v>5260</v>
      </c>
      <c r="J376" s="93"/>
      <c r="K376" s="80">
        <f>K233</f>
        <v>158000</v>
      </c>
      <c r="L376" s="80">
        <f>L233</f>
        <v>0</v>
      </c>
      <c r="M376" s="80">
        <f>M233</f>
        <v>158000</v>
      </c>
      <c r="N376" s="80">
        <f>N233</f>
        <v>0</v>
      </c>
      <c r="O376" s="80">
        <f>O233</f>
        <v>158000</v>
      </c>
    </row>
    <row r="377" spans="4:15" hidden="1" x14ac:dyDescent="0.25">
      <c r="D377" s="93" t="s">
        <v>818</v>
      </c>
      <c r="E377" s="93"/>
      <c r="F377" s="89"/>
      <c r="G377" s="93"/>
      <c r="H377" s="93"/>
      <c r="I377" s="20" t="s">
        <v>587</v>
      </c>
      <c r="J377" s="93"/>
      <c r="K377" s="80">
        <f>K88</f>
        <v>41440</v>
      </c>
      <c r="L377" s="80">
        <f>L88</f>
        <v>0</v>
      </c>
      <c r="M377" s="80">
        <f>M88</f>
        <v>41440</v>
      </c>
      <c r="N377" s="80">
        <f>N88</f>
        <v>0</v>
      </c>
      <c r="O377" s="80">
        <f>O88</f>
        <v>41440</v>
      </c>
    </row>
    <row r="378" spans="4:15" hidden="1" x14ac:dyDescent="0.25">
      <c r="D378" s="93" t="s">
        <v>818</v>
      </c>
      <c r="E378" s="93"/>
      <c r="F378" s="89"/>
      <c r="G378" s="93"/>
      <c r="H378" s="93"/>
      <c r="I378" s="20" t="s">
        <v>832</v>
      </c>
      <c r="J378" s="93"/>
      <c r="K378" s="80">
        <f>K272</f>
        <v>0</v>
      </c>
      <c r="L378" s="80">
        <f t="shared" ref="L378:O378" si="181">L272</f>
        <v>0</v>
      </c>
      <c r="M378" s="80">
        <f t="shared" si="181"/>
        <v>0</v>
      </c>
      <c r="N378" s="80">
        <f t="shared" si="181"/>
        <v>68104</v>
      </c>
      <c r="O378" s="80">
        <f t="shared" si="181"/>
        <v>68104</v>
      </c>
    </row>
    <row r="379" spans="4:15" hidden="1" x14ac:dyDescent="0.25">
      <c r="D379" s="93" t="s">
        <v>818</v>
      </c>
      <c r="E379" s="93"/>
      <c r="F379" s="89"/>
      <c r="G379" s="93"/>
      <c r="H379" s="93"/>
      <c r="I379" s="1" t="s">
        <v>618</v>
      </c>
      <c r="J379" s="93"/>
      <c r="K379" s="80">
        <f>K91</f>
        <v>2558000</v>
      </c>
      <c r="L379" s="80">
        <f>L91</f>
        <v>0</v>
      </c>
      <c r="M379" s="80">
        <f>M91</f>
        <v>2558000</v>
      </c>
      <c r="N379" s="80">
        <f>N91</f>
        <v>0</v>
      </c>
      <c r="O379" s="80">
        <f>O91</f>
        <v>2558000</v>
      </c>
    </row>
    <row r="380" spans="4:15" hidden="1" x14ac:dyDescent="0.25">
      <c r="D380" s="93" t="s">
        <v>822</v>
      </c>
      <c r="E380" s="93"/>
      <c r="F380" s="89"/>
      <c r="G380" s="93"/>
      <c r="H380" s="93"/>
      <c r="I380" s="20"/>
      <c r="J380" s="93"/>
      <c r="K380" s="80">
        <f>SUM(K319:K379)</f>
        <v>234246433</v>
      </c>
      <c r="L380" s="80">
        <f>SUM(L319:L379)</f>
        <v>8505006</v>
      </c>
      <c r="M380" s="80">
        <f>SUM(M319:M379)</f>
        <v>242751439</v>
      </c>
      <c r="N380" s="80">
        <f>SUM(N319:N379)</f>
        <v>165681</v>
      </c>
      <c r="O380" s="80">
        <f>SUM(O319:O379)</f>
        <v>242917120</v>
      </c>
    </row>
    <row r="381" spans="4:15" hidden="1" x14ac:dyDescent="0.25">
      <c r="D381" s="93"/>
      <c r="E381" s="93"/>
      <c r="F381" s="89"/>
      <c r="G381" s="93"/>
      <c r="H381" s="93"/>
      <c r="I381" s="20"/>
      <c r="J381" s="93"/>
      <c r="K381" s="80">
        <f>K380-K393</f>
        <v>0</v>
      </c>
      <c r="L381" s="80">
        <f t="shared" ref="L381:N381" si="182">L380-L393</f>
        <v>0</v>
      </c>
      <c r="M381" s="80">
        <f t="shared" si="182"/>
        <v>0</v>
      </c>
      <c r="N381" s="80">
        <f t="shared" si="182"/>
        <v>0</v>
      </c>
      <c r="O381" s="80">
        <f>O380-O393</f>
        <v>0</v>
      </c>
    </row>
    <row r="382" spans="4:15" hidden="1" x14ac:dyDescent="0.25">
      <c r="D382" s="93" t="s">
        <v>818</v>
      </c>
      <c r="E382" s="93"/>
      <c r="F382" s="89"/>
      <c r="G382" s="93"/>
      <c r="H382" s="93"/>
      <c r="I382" s="20"/>
      <c r="J382" s="93"/>
      <c r="K382" s="80">
        <f>K319+K320+K321+K322+K323+K326+K327+K330+K331+K332+K333+K335+K337+K349+K352+K353+K354+K357+K358+K359+K360+K361+K362+K363+K364+K365+K366+K367+K368+K369+K370+K371+K373+K377+K379</f>
        <v>95577600</v>
      </c>
      <c r="L382" s="80">
        <f>L319+L320+L321+L322+L323+L326+L327+L330+L331+L332+L333+L335+L337+L349+L352+L353+L354+L357+L358+L359+L360+L361+L362+L363+L364+L365+L366+L367+L368+L369+L370+L371+L373+L377+L379</f>
        <v>3702506</v>
      </c>
      <c r="M382" s="80">
        <f>M319+M320+M321+M322+M323+M326+M327+M330+M331+M332+M333+M335+M337+M349+M352+M353+M354+M357+M358+M359+M360+M361+M362+M363+M364+M365+M366+M367+M368+M369+M370+M371+M373+M377+M379</f>
        <v>99280106</v>
      </c>
      <c r="N382" s="80">
        <f>N319+N320+N321+N322+N323+N326+N327+N330+N331+N332+N333+N335+N337+N349+N352+N353+N354+N357+N358+N359+N360+N361+N362+N363+N364+N365+N366+N367+N368+N369+N370+N371+N373+N377+N379</f>
        <v>-768404</v>
      </c>
      <c r="O382" s="80">
        <f>O319+O320+O321+O322+O323+O326+O327+O330+O331+O332+O333+O335+O337+O349+O352+O353+O354+O357+O358+O359+O360+O361+O362+O363+O364+O365+O366+O367+O368+O369+O370+O371+O373+O377+O379</f>
        <v>98511702</v>
      </c>
    </row>
    <row r="383" spans="4:15" hidden="1" x14ac:dyDescent="0.25">
      <c r="D383" s="93" t="s">
        <v>783</v>
      </c>
      <c r="E383" s="93"/>
      <c r="F383" s="89"/>
      <c r="G383" s="93"/>
      <c r="H383" s="93"/>
      <c r="I383" s="20"/>
      <c r="J383" s="93"/>
      <c r="K383" s="80">
        <f>K334+K338+K339+K340+K341+K342+K343+K344+K345+K346+K347+K350+K351+K356+K374+K375+K376</f>
        <v>126556033</v>
      </c>
      <c r="L383" s="80">
        <f>L334+L338+L339+L340+L341+L342+L343+L344+L345+L346+L347+L350+L351+L356+L374+L375+L376</f>
        <v>4802500</v>
      </c>
      <c r="M383" s="80">
        <f>M334+M338+M339+M340+M341+M342+M343+M344+M345+M346+M347+M350+M351+M356+M374+M375+M376</f>
        <v>131358533</v>
      </c>
      <c r="N383" s="80">
        <f>N334+N338+N339+N340+N341+N342+N343+N344+N345+N346+N347+N350+N351+N356+N374+N375+N376</f>
        <v>-34319</v>
      </c>
      <c r="O383" s="80">
        <f>O334+O338+O339+O340+O341+O342+O343+O344+O345+O346+O347+O350+O351+O356+O374+O375+O376</f>
        <v>131324214</v>
      </c>
    </row>
    <row r="384" spans="4:15" hidden="1" x14ac:dyDescent="0.25">
      <c r="D384" s="93" t="s">
        <v>820</v>
      </c>
      <c r="E384" s="93"/>
      <c r="F384" s="89"/>
      <c r="G384" s="93"/>
      <c r="H384" s="93"/>
      <c r="I384" s="20"/>
      <c r="J384" s="93"/>
      <c r="K384" s="80">
        <f>K324+K325+K328+K329+K355</f>
        <v>12112800</v>
      </c>
      <c r="L384" s="80">
        <f>L324+L325+L328+L329+L355</f>
        <v>0</v>
      </c>
      <c r="M384" s="80">
        <f>M324+M325+M328+M329+M355</f>
        <v>12112800</v>
      </c>
      <c r="N384" s="80">
        <f>N324+N325+N328+N329+N355</f>
        <v>0</v>
      </c>
      <c r="O384" s="80">
        <f>O324+O325+O328+O329+O355</f>
        <v>12112800</v>
      </c>
    </row>
    <row r="385" spans="2:15" hidden="1" x14ac:dyDescent="0.25">
      <c r="G385" s="81"/>
      <c r="H385" s="81"/>
      <c r="I385" s="441"/>
      <c r="K385" s="232"/>
      <c r="L385" s="232"/>
      <c r="M385" s="232"/>
      <c r="N385" s="232"/>
      <c r="O385" s="232"/>
    </row>
    <row r="386" spans="2:15" hidden="1" x14ac:dyDescent="0.25">
      <c r="G386" s="81"/>
      <c r="H386" s="81"/>
      <c r="I386" s="441"/>
      <c r="K386" s="232"/>
      <c r="L386" s="232"/>
      <c r="M386" s="232"/>
      <c r="N386" s="232"/>
      <c r="O386" s="232"/>
    </row>
    <row r="387" spans="2:15" hidden="1" x14ac:dyDescent="0.25">
      <c r="B387" s="81" t="s">
        <v>823</v>
      </c>
      <c r="G387" s="81"/>
      <c r="H387" s="81"/>
      <c r="I387" s="441"/>
      <c r="K387" s="232">
        <f>' Дох.15'!C75+' Дох.15'!C87</f>
        <v>126127131</v>
      </c>
      <c r="L387" s="232">
        <f>' Дох.15'!F75+' Дох.15'!F87</f>
        <v>4802500</v>
      </c>
      <c r="M387" s="232">
        <f>' Дох.15'!G75+' Дох.15'!G87</f>
        <v>130929631</v>
      </c>
      <c r="N387" s="232">
        <f>' Дох.15'!H75+' Дох.15'!H87</f>
        <v>5380</v>
      </c>
      <c r="O387" s="232">
        <f>' Дох.15'!I75+' Дох.15'!I87</f>
        <v>130935011</v>
      </c>
    </row>
    <row r="388" spans="2:15" hidden="1" x14ac:dyDescent="0.25">
      <c r="G388" s="81"/>
      <c r="H388" s="81"/>
      <c r="I388" s="441"/>
      <c r="K388" s="232"/>
      <c r="L388" s="232"/>
      <c r="M388" s="232"/>
      <c r="N388" s="232"/>
      <c r="O388" s="232"/>
    </row>
    <row r="389" spans="2:15" hidden="1" x14ac:dyDescent="0.25">
      <c r="G389" s="81"/>
      <c r="H389" s="81"/>
      <c r="I389" s="441"/>
      <c r="K389" s="232"/>
      <c r="L389" s="232"/>
      <c r="M389" s="232"/>
      <c r="N389" s="232"/>
      <c r="O389" s="232"/>
    </row>
    <row r="390" spans="2:15" hidden="1" x14ac:dyDescent="0.25">
      <c r="B390" s="81" t="s">
        <v>824</v>
      </c>
      <c r="G390" s="81"/>
      <c r="H390" s="81"/>
      <c r="I390" s="441"/>
      <c r="K390" s="232">
        <f t="shared" ref="K390:N390" si="183">K387-K383</f>
        <v>-428902</v>
      </c>
      <c r="L390" s="232">
        <f t="shared" si="183"/>
        <v>0</v>
      </c>
      <c r="M390" s="232">
        <f t="shared" si="183"/>
        <v>-428902</v>
      </c>
      <c r="N390" s="232">
        <f t="shared" si="183"/>
        <v>39699</v>
      </c>
      <c r="O390" s="232">
        <f>O387-O383</f>
        <v>-389203</v>
      </c>
    </row>
    <row r="391" spans="2:15" hidden="1" x14ac:dyDescent="0.25">
      <c r="G391" s="81"/>
      <c r="H391" s="81"/>
      <c r="I391" s="441"/>
      <c r="K391" s="232"/>
      <c r="L391" s="232"/>
      <c r="M391" s="232"/>
      <c r="N391" s="232"/>
      <c r="O391" s="232"/>
    </row>
    <row r="392" spans="2:15" hidden="1" x14ac:dyDescent="0.25">
      <c r="G392" s="81"/>
      <c r="H392" s="81"/>
      <c r="I392" s="441"/>
      <c r="K392" s="232"/>
      <c r="L392" s="232"/>
      <c r="M392" s="232"/>
      <c r="N392" s="232"/>
      <c r="O392" s="232"/>
    </row>
    <row r="393" spans="2:15" hidden="1" x14ac:dyDescent="0.25">
      <c r="G393" s="81"/>
      <c r="H393" s="81"/>
      <c r="I393" s="81"/>
      <c r="K393" s="232">
        <f>'6 Вед15'!J354</f>
        <v>234246433</v>
      </c>
      <c r="L393" s="232">
        <f>'6 Вед15'!K354</f>
        <v>8505006</v>
      </c>
      <c r="M393" s="232">
        <f>'6 Вед15'!L354</f>
        <v>242751439</v>
      </c>
      <c r="N393" s="232">
        <f>'6 Вед15'!M354</f>
        <v>165681</v>
      </c>
      <c r="O393" s="232">
        <f>'6 Вед15'!N354</f>
        <v>242917120</v>
      </c>
    </row>
    <row r="394" spans="2:15" hidden="1" x14ac:dyDescent="0.25">
      <c r="G394" s="81"/>
      <c r="H394" s="81"/>
      <c r="I394" s="81"/>
      <c r="K394" s="232"/>
      <c r="L394" s="232"/>
      <c r="M394" s="232"/>
      <c r="N394" s="232"/>
      <c r="O394" s="232"/>
    </row>
    <row r="395" spans="2:15" hidden="1" x14ac:dyDescent="0.25">
      <c r="G395" s="81"/>
      <c r="H395" s="81"/>
      <c r="I395" s="81"/>
      <c r="K395" s="232">
        <f>K304-K393</f>
        <v>0</v>
      </c>
      <c r="L395" s="232">
        <f>L304-L393</f>
        <v>0</v>
      </c>
      <c r="M395" s="232">
        <f>M304-M393</f>
        <v>0</v>
      </c>
      <c r="N395" s="232">
        <f>N304-N393</f>
        <v>0</v>
      </c>
      <c r="O395" s="232">
        <f>O304-O393</f>
        <v>0</v>
      </c>
    </row>
    <row r="396" spans="2:15" hidden="1" x14ac:dyDescent="0.25">
      <c r="G396" s="81"/>
      <c r="H396" s="81"/>
      <c r="I396" s="81"/>
      <c r="K396" s="232">
        <f>Функц.!J317</f>
        <v>234246433</v>
      </c>
      <c r="L396" s="232">
        <f>Функц.!K317</f>
        <v>8505006</v>
      </c>
      <c r="M396" s="232">
        <f>Функц.!L317</f>
        <v>242751439</v>
      </c>
      <c r="N396" s="232">
        <f>Функц.!M317</f>
        <v>165681</v>
      </c>
      <c r="O396" s="232">
        <f>Функц.!N317</f>
        <v>242917120</v>
      </c>
    </row>
    <row r="397" spans="2:15" hidden="1" x14ac:dyDescent="0.25">
      <c r="G397" s="81"/>
      <c r="H397" s="81"/>
      <c r="I397" s="81"/>
      <c r="K397" s="232">
        <f>K304-K396</f>
        <v>0</v>
      </c>
      <c r="L397" s="232">
        <f>L304-L396</f>
        <v>0</v>
      </c>
      <c r="M397" s="232">
        <f>M304-M396</f>
        <v>0</v>
      </c>
      <c r="N397" s="232">
        <f>N304-N396</f>
        <v>0</v>
      </c>
      <c r="O397" s="232">
        <f>O304-O396</f>
        <v>0</v>
      </c>
    </row>
    <row r="398" spans="2:15" hidden="1" x14ac:dyDescent="0.25">
      <c r="G398" s="81"/>
      <c r="H398" s="81"/>
      <c r="I398" s="81"/>
      <c r="K398" s="232">
        <f>' Дох.15'!C119</f>
        <v>234246433</v>
      </c>
      <c r="L398" s="232">
        <f>' Дох.15'!F119</f>
        <v>4802500</v>
      </c>
      <c r="M398" s="232">
        <f>' Дох.15'!G119</f>
        <v>239048933</v>
      </c>
      <c r="N398" s="232">
        <f>' Дох.15'!H119</f>
        <v>-4115019</v>
      </c>
      <c r="O398" s="232">
        <f>' Дох.15'!I119</f>
        <v>234933914</v>
      </c>
    </row>
    <row r="399" spans="2:15" hidden="1" x14ac:dyDescent="0.25">
      <c r="G399" s="81"/>
      <c r="H399" s="81"/>
      <c r="I399" s="81"/>
      <c r="K399" s="232">
        <f>K304-K398</f>
        <v>0</v>
      </c>
      <c r="L399" s="232">
        <f>L304-L398</f>
        <v>3702506</v>
      </c>
      <c r="M399" s="232">
        <f>M304-M398</f>
        <v>3702506</v>
      </c>
      <c r="N399" s="232">
        <f>N304-N398</f>
        <v>4280700</v>
      </c>
      <c r="O399" s="232">
        <f>O304-O398</f>
        <v>7983206</v>
      </c>
    </row>
    <row r="400" spans="2:15" hidden="1" x14ac:dyDescent="0.25">
      <c r="G400" s="81"/>
      <c r="H400" s="81"/>
      <c r="I400" s="81"/>
      <c r="K400" s="232">
        <f>'12 Ист.15'!G15</f>
        <v>4280700</v>
      </c>
      <c r="L400" s="232">
        <f>'12 Ист.15'!H15</f>
        <v>7983206</v>
      </c>
      <c r="M400" s="232">
        <f>'12 Ист.15'!I15</f>
        <v>0</v>
      </c>
      <c r="N400" s="232">
        <f>'12 Ист.15'!J15</f>
        <v>0</v>
      </c>
      <c r="O400" s="232">
        <f>'12 Ист.15'!K15</f>
        <v>0</v>
      </c>
    </row>
    <row r="401" spans="2:15" hidden="1" x14ac:dyDescent="0.25">
      <c r="G401" s="81"/>
      <c r="H401" s="81"/>
      <c r="I401" s="136"/>
      <c r="K401" s="232">
        <f>K304-K398-K400</f>
        <v>-4280700</v>
      </c>
      <c r="L401" s="232">
        <f>L304-L398-L400</f>
        <v>-4280700</v>
      </c>
      <c r="M401" s="232">
        <f>M304-M398-M400</f>
        <v>3702506</v>
      </c>
      <c r="N401" s="232">
        <f>N304-N398-N400</f>
        <v>4280700</v>
      </c>
      <c r="O401" s="232">
        <f>O304-O398-O400</f>
        <v>7983206</v>
      </c>
    </row>
    <row r="402" spans="2:15" hidden="1" x14ac:dyDescent="0.25">
      <c r="G402" s="81"/>
      <c r="H402" s="81"/>
      <c r="I402" s="440"/>
      <c r="K402" s="232"/>
    </row>
    <row r="403" spans="2:15" hidden="1" x14ac:dyDescent="0.25">
      <c r="F403" s="81"/>
      <c r="G403" s="81"/>
      <c r="H403" s="81"/>
      <c r="I403" s="441"/>
      <c r="K403" s="232"/>
    </row>
    <row r="404" spans="2:15" hidden="1" x14ac:dyDescent="0.25">
      <c r="F404" s="81"/>
      <c r="G404" s="81"/>
      <c r="H404" s="81"/>
      <c r="I404" s="440"/>
      <c r="K404" s="232"/>
    </row>
    <row r="405" spans="2:15" hidden="1" x14ac:dyDescent="0.25">
      <c r="B405" s="6" t="s">
        <v>578</v>
      </c>
      <c r="F405" s="81"/>
      <c r="G405" s="81"/>
      <c r="H405" s="81"/>
      <c r="I405" s="440"/>
      <c r="K405" s="232" t="e">
        <f>#REF!+#REF!+#REF!+#REF!+#REF!+#REF!</f>
        <v>#REF!</v>
      </c>
    </row>
    <row r="406" spans="2:15" hidden="1" x14ac:dyDescent="0.25">
      <c r="B406" s="6" t="s">
        <v>579</v>
      </c>
      <c r="F406" s="81"/>
      <c r="G406" s="81"/>
      <c r="H406" s="81"/>
      <c r="I406" s="440"/>
      <c r="K406" s="232" t="e">
        <f>#REF!+#REF!+#REF!+#REF!+#REF!+#REF!</f>
        <v>#REF!</v>
      </c>
    </row>
    <row r="407" spans="2:15" hidden="1" x14ac:dyDescent="0.25">
      <c r="F407" s="81"/>
      <c r="G407" s="81"/>
      <c r="H407" s="81"/>
      <c r="I407" s="441"/>
      <c r="K407" s="232"/>
    </row>
    <row r="408" spans="2:15" hidden="1" x14ac:dyDescent="0.25">
      <c r="F408" s="81"/>
      <c r="I408" s="440"/>
      <c r="K408" s="232"/>
    </row>
    <row r="409" spans="2:15" hidden="1" x14ac:dyDescent="0.25">
      <c r="B409" s="81" t="s">
        <v>580</v>
      </c>
      <c r="F409" s="81"/>
      <c r="I409" s="440"/>
      <c r="K409" s="232" t="e">
        <f>#REF!+#REF!+#REF!+#REF!+#REF!+#REF!+#REF!+#REF!+#REF!</f>
        <v>#REF!</v>
      </c>
    </row>
    <row r="410" spans="2:15" hidden="1" x14ac:dyDescent="0.25">
      <c r="F410" s="81"/>
      <c r="I410" s="440"/>
    </row>
    <row r="411" spans="2:15" hidden="1" x14ac:dyDescent="0.25">
      <c r="F411" s="81"/>
      <c r="I411" s="442"/>
    </row>
    <row r="412" spans="2:15" hidden="1" x14ac:dyDescent="0.25">
      <c r="F412" s="81"/>
      <c r="I412" s="440"/>
    </row>
    <row r="413" spans="2:15" hidden="1" x14ac:dyDescent="0.25">
      <c r="F413" s="81"/>
      <c r="I413" s="136"/>
    </row>
    <row r="414" spans="2:15" hidden="1" x14ac:dyDescent="0.25">
      <c r="F414" s="81"/>
      <c r="I414" s="136"/>
    </row>
    <row r="415" spans="2:15" hidden="1" x14ac:dyDescent="0.25">
      <c r="F415" s="81"/>
      <c r="I415" s="136"/>
    </row>
    <row r="416" spans="2:15" hidden="1" x14ac:dyDescent="0.25">
      <c r="F416" s="81"/>
      <c r="G416" s="81"/>
      <c r="H416" s="81"/>
      <c r="I416" s="136"/>
    </row>
    <row r="417" spans="6:9" hidden="1" x14ac:dyDescent="0.25">
      <c r="F417" s="81"/>
      <c r="G417" s="81"/>
      <c r="H417" s="81"/>
      <c r="I417" s="136"/>
    </row>
    <row r="418" spans="6:9" hidden="1" x14ac:dyDescent="0.25">
      <c r="F418" s="81"/>
      <c r="G418" s="81"/>
      <c r="H418" s="81"/>
      <c r="I418" s="81"/>
    </row>
    <row r="419" spans="6:9" hidden="1" x14ac:dyDescent="0.25">
      <c r="F419" s="81"/>
      <c r="G419" s="81"/>
      <c r="H419" s="81"/>
      <c r="I419" s="81"/>
    </row>
    <row r="420" spans="6:9" hidden="1" x14ac:dyDescent="0.25">
      <c r="F420" s="81"/>
      <c r="G420" s="81"/>
      <c r="H420" s="81"/>
      <c r="I420" s="81"/>
    </row>
    <row r="421" spans="6:9" hidden="1" x14ac:dyDescent="0.25">
      <c r="F421" s="81"/>
      <c r="G421" s="81"/>
      <c r="H421" s="81"/>
      <c r="I421" s="81"/>
    </row>
    <row r="422" spans="6:9" hidden="1" x14ac:dyDescent="0.25">
      <c r="F422" s="81"/>
      <c r="I422" s="81"/>
    </row>
    <row r="423" spans="6:9" hidden="1" x14ac:dyDescent="0.25">
      <c r="F423" s="81"/>
      <c r="G423" s="81"/>
      <c r="H423" s="81"/>
      <c r="I423" s="81"/>
    </row>
    <row r="424" spans="6:9" hidden="1" x14ac:dyDescent="0.25">
      <c r="F424" s="81"/>
      <c r="I424" s="81"/>
    </row>
    <row r="425" spans="6:9" hidden="1" x14ac:dyDescent="0.25">
      <c r="F425" s="81"/>
      <c r="I425" s="81"/>
    </row>
    <row r="426" spans="6:9" hidden="1" x14ac:dyDescent="0.25">
      <c r="F426" s="81"/>
      <c r="I426" s="81"/>
    </row>
    <row r="427" spans="6:9" hidden="1" x14ac:dyDescent="0.25">
      <c r="F427" s="81"/>
      <c r="I427" s="81"/>
    </row>
    <row r="428" spans="6:9" hidden="1" x14ac:dyDescent="0.25">
      <c r="F428" s="81"/>
      <c r="I428" s="81"/>
    </row>
    <row r="429" spans="6:9" hidden="1" x14ac:dyDescent="0.25">
      <c r="F429" s="81"/>
      <c r="I429" s="81"/>
    </row>
    <row r="430" spans="6:9" hidden="1" x14ac:dyDescent="0.25">
      <c r="F430" s="81"/>
      <c r="G430" s="81"/>
      <c r="H430" s="81"/>
      <c r="I430" s="81"/>
    </row>
    <row r="431" spans="6:9" hidden="1" x14ac:dyDescent="0.25">
      <c r="F431" s="81"/>
      <c r="I431" s="81"/>
    </row>
    <row r="432" spans="6:9" hidden="1" x14ac:dyDescent="0.25">
      <c r="F432" s="81"/>
      <c r="I432" s="81"/>
    </row>
    <row r="433" spans="6:9" hidden="1" x14ac:dyDescent="0.25">
      <c r="F433" s="81"/>
      <c r="I433" s="81"/>
    </row>
    <row r="434" spans="6:9" hidden="1" x14ac:dyDescent="0.25">
      <c r="F434" s="81"/>
      <c r="I434" s="81"/>
    </row>
    <row r="435" spans="6:9" hidden="1" x14ac:dyDescent="0.25">
      <c r="F435" s="81"/>
      <c r="I435" s="81"/>
    </row>
    <row r="436" spans="6:9" hidden="1" x14ac:dyDescent="0.25">
      <c r="F436" s="81"/>
      <c r="I436" s="81"/>
    </row>
    <row r="437" spans="6:9" hidden="1" x14ac:dyDescent="0.25">
      <c r="F437" s="81"/>
      <c r="I437" s="81"/>
    </row>
    <row r="438" spans="6:9" hidden="1" x14ac:dyDescent="0.25">
      <c r="I438" s="1"/>
    </row>
    <row r="439" spans="6:9" hidden="1" x14ac:dyDescent="0.25">
      <c r="F439" s="81"/>
      <c r="I439" s="1"/>
    </row>
    <row r="440" spans="6:9" hidden="1" x14ac:dyDescent="0.25">
      <c r="F440" s="81"/>
      <c r="I440" s="1"/>
    </row>
    <row r="441" spans="6:9" hidden="1" x14ac:dyDescent="0.25">
      <c r="F441" s="81"/>
      <c r="I441" s="1"/>
    </row>
    <row r="442" spans="6:9" hidden="1" x14ac:dyDescent="0.25">
      <c r="F442" s="81"/>
      <c r="G442" s="81"/>
      <c r="H442" s="81"/>
      <c r="I442" s="81"/>
    </row>
    <row r="443" spans="6:9" hidden="1" x14ac:dyDescent="0.25">
      <c r="F443" s="81"/>
      <c r="G443" s="81"/>
      <c r="H443" s="81"/>
      <c r="I443" s="81"/>
    </row>
    <row r="444" spans="6:9" hidden="1" x14ac:dyDescent="0.25">
      <c r="F444" s="81"/>
      <c r="G444" s="81"/>
      <c r="H444" s="81"/>
      <c r="I444" s="81"/>
    </row>
    <row r="445" spans="6:9" hidden="1" x14ac:dyDescent="0.25">
      <c r="F445" s="81"/>
      <c r="G445" s="81"/>
      <c r="H445" s="81"/>
      <c r="I445" s="81"/>
    </row>
    <row r="446" spans="6:9" hidden="1" x14ac:dyDescent="0.25">
      <c r="F446" s="81"/>
      <c r="G446" s="81"/>
      <c r="H446" s="81"/>
      <c r="I446" s="81"/>
    </row>
  </sheetData>
  <mergeCells count="106">
    <mergeCell ref="E3:O3"/>
    <mergeCell ref="A5:O5"/>
    <mergeCell ref="E4:O4"/>
    <mergeCell ref="A201:B201"/>
    <mergeCell ref="A249:B249"/>
    <mergeCell ref="A252:B252"/>
    <mergeCell ref="A215:B215"/>
    <mergeCell ref="A204:B204"/>
    <mergeCell ref="A296:B296"/>
    <mergeCell ref="A295:B295"/>
    <mergeCell ref="A238:B238"/>
    <mergeCell ref="A236:B236"/>
    <mergeCell ref="A246:B246"/>
    <mergeCell ref="A257:B257"/>
    <mergeCell ref="A276:B276"/>
    <mergeCell ref="A275:B275"/>
    <mergeCell ref="A288:B288"/>
    <mergeCell ref="A277:B277"/>
    <mergeCell ref="A284:B284"/>
    <mergeCell ref="A285:B285"/>
    <mergeCell ref="A280:B280"/>
    <mergeCell ref="A281:B281"/>
    <mergeCell ref="A266:B266"/>
    <mergeCell ref="A272:B272"/>
    <mergeCell ref="A262:B262"/>
    <mergeCell ref="A301:B301"/>
    <mergeCell ref="A7:B7"/>
    <mergeCell ref="A9:B9"/>
    <mergeCell ref="A10:B10"/>
    <mergeCell ref="A13:B13"/>
    <mergeCell ref="A125:B125"/>
    <mergeCell ref="A91:B91"/>
    <mergeCell ref="A88:B88"/>
    <mergeCell ref="A106:B106"/>
    <mergeCell ref="A105:B105"/>
    <mergeCell ref="A85:B85"/>
    <mergeCell ref="A107:B107"/>
    <mergeCell ref="A122:B122"/>
    <mergeCell ref="A198:B198"/>
    <mergeCell ref="A233:B233"/>
    <mergeCell ref="A224:B224"/>
    <mergeCell ref="A227:B227"/>
    <mergeCell ref="A190:B190"/>
    <mergeCell ref="A230:B230"/>
    <mergeCell ref="A269:B269"/>
    <mergeCell ref="A195:B195"/>
    <mergeCell ref="A212:B212"/>
    <mergeCell ref="A209:B209"/>
    <mergeCell ref="A237:B237"/>
    <mergeCell ref="A28:B28"/>
    <mergeCell ref="A178:B178"/>
    <mergeCell ref="A157:B157"/>
    <mergeCell ref="A158:B158"/>
    <mergeCell ref="A169:B169"/>
    <mergeCell ref="A181:B181"/>
    <mergeCell ref="A175:B175"/>
    <mergeCell ref="A110:B110"/>
    <mergeCell ref="A113:B113"/>
    <mergeCell ref="A116:B116"/>
    <mergeCell ref="A71:B71"/>
    <mergeCell ref="A66:B66"/>
    <mergeCell ref="A97:B97"/>
    <mergeCell ref="A98:B98"/>
    <mergeCell ref="A99:B99"/>
    <mergeCell ref="A74:B74"/>
    <mergeCell ref="A102:B102"/>
    <mergeCell ref="G6:H6"/>
    <mergeCell ref="A25:B25"/>
    <mergeCell ref="A77:B77"/>
    <mergeCell ref="A138:B138"/>
    <mergeCell ref="A149:B149"/>
    <mergeCell ref="A172:B172"/>
    <mergeCell ref="A144:B144"/>
    <mergeCell ref="A145:B145"/>
    <mergeCell ref="A141:B141"/>
    <mergeCell ref="A146:B146"/>
    <mergeCell ref="A168:B168"/>
    <mergeCell ref="A159:B159"/>
    <mergeCell ref="A164:B164"/>
    <mergeCell ref="A162:B162"/>
    <mergeCell ref="A163:B163"/>
    <mergeCell ref="A167:B167"/>
    <mergeCell ref="A154:B154"/>
    <mergeCell ref="E2:M2"/>
    <mergeCell ref="E1:L1"/>
    <mergeCell ref="A132:B132"/>
    <mergeCell ref="A136:B136"/>
    <mergeCell ref="A94:B94"/>
    <mergeCell ref="A128:B128"/>
    <mergeCell ref="B129:C129"/>
    <mergeCell ref="A137:B137"/>
    <mergeCell ref="A8:B8"/>
    <mergeCell ref="A36:B36"/>
    <mergeCell ref="A44:B44"/>
    <mergeCell ref="A47:B47"/>
    <mergeCell ref="A55:B55"/>
    <mergeCell ref="A60:B60"/>
    <mergeCell ref="A63:B63"/>
    <mergeCell ref="A80:B80"/>
    <mergeCell ref="A31:B31"/>
    <mergeCell ref="A41:B41"/>
    <mergeCell ref="A50:B50"/>
    <mergeCell ref="A22:B22"/>
    <mergeCell ref="A119:B119"/>
    <mergeCell ref="A133:B133"/>
    <mergeCell ref="A131:B131"/>
  </mergeCells>
  <printOptions headings="1"/>
  <pageMargins left="0.70866141732283472" right="0.31496062992125984" top="0.19685039370078741" bottom="0.19685039370078741" header="0.31496062992125984" footer="0.31496062992125984"/>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306"/>
  <sheetViews>
    <sheetView topLeftCell="A3" zoomScale="90" zoomScaleNormal="90" workbookViewId="0">
      <selection activeCell="A3" sqref="A3"/>
    </sheetView>
  </sheetViews>
  <sheetFormatPr defaultRowHeight="12" x14ac:dyDescent="0.25"/>
  <cols>
    <col min="1" max="1" width="2.140625" style="6" customWidth="1"/>
    <col min="2" max="2" width="67.85546875" style="6" customWidth="1"/>
    <col min="3" max="3" width="4" style="6" hidden="1" customWidth="1"/>
    <col min="4" max="5" width="4" style="6" customWidth="1"/>
    <col min="6" max="6" width="4.140625" style="75" customWidth="1"/>
    <col min="7" max="8" width="4" style="75" hidden="1" customWidth="1"/>
    <col min="9" max="9" width="5.85546875" style="75" customWidth="1"/>
    <col min="10" max="10" width="4" style="6" customWidth="1"/>
    <col min="11" max="11" width="16.140625" style="6" hidden="1" customWidth="1"/>
    <col min="12" max="13" width="13.5703125" style="6" hidden="1" customWidth="1"/>
    <col min="14" max="14" width="14.42578125" style="6" customWidth="1"/>
    <col min="15" max="15" width="13.28515625" style="6" hidden="1" customWidth="1"/>
    <col min="16" max="16" width="12.7109375" style="6" hidden="1" customWidth="1"/>
    <col min="17" max="17" width="14.42578125" style="6" customWidth="1"/>
    <col min="18" max="18" width="13.28515625" style="6" customWidth="1"/>
    <col min="19" max="234" width="9.140625" style="6"/>
    <col min="235" max="235" width="1.42578125" style="6" customWidth="1"/>
    <col min="236" max="236" width="59.5703125" style="6" customWidth="1"/>
    <col min="237" max="237" width="9.140625" style="6" customWidth="1"/>
    <col min="238" max="239" width="3.85546875" style="6" customWidth="1"/>
    <col min="240" max="240" width="10.5703125" style="6" customWidth="1"/>
    <col min="241" max="241" width="3.85546875" style="6" customWidth="1"/>
    <col min="242" max="244" width="14.42578125" style="6" customWidth="1"/>
    <col min="245" max="245" width="4.140625" style="6" customWidth="1"/>
    <col min="246" max="246" width="15" style="6" customWidth="1"/>
    <col min="247" max="248" width="9.140625" style="6" customWidth="1"/>
    <col min="249" max="249" width="11.5703125" style="6" customWidth="1"/>
    <col min="250" max="250" width="18.140625" style="6" customWidth="1"/>
    <col min="251" max="251" width="13.140625" style="6" customWidth="1"/>
    <col min="252" max="252" width="12.28515625" style="6" customWidth="1"/>
    <col min="253" max="490" width="9.140625" style="6"/>
    <col min="491" max="491" width="1.42578125" style="6" customWidth="1"/>
    <col min="492" max="492" width="59.5703125" style="6" customWidth="1"/>
    <col min="493" max="493" width="9.140625" style="6" customWidth="1"/>
    <col min="494" max="495" width="3.85546875" style="6" customWidth="1"/>
    <col min="496" max="496" width="10.5703125" style="6" customWidth="1"/>
    <col min="497" max="497" width="3.85546875" style="6" customWidth="1"/>
    <col min="498" max="500" width="14.42578125" style="6" customWidth="1"/>
    <col min="501" max="501" width="4.140625" style="6" customWidth="1"/>
    <col min="502" max="502" width="15" style="6" customWidth="1"/>
    <col min="503" max="504" width="9.140625" style="6" customWidth="1"/>
    <col min="505" max="505" width="11.5703125" style="6" customWidth="1"/>
    <col min="506" max="506" width="18.140625" style="6" customWidth="1"/>
    <col min="507" max="507" width="13.140625" style="6" customWidth="1"/>
    <col min="508" max="508" width="12.28515625" style="6" customWidth="1"/>
    <col min="509" max="746" width="9.140625" style="6"/>
    <col min="747" max="747" width="1.42578125" style="6" customWidth="1"/>
    <col min="748" max="748" width="59.5703125" style="6" customWidth="1"/>
    <col min="749" max="749" width="9.140625" style="6" customWidth="1"/>
    <col min="750" max="751" width="3.85546875" style="6" customWidth="1"/>
    <col min="752" max="752" width="10.5703125" style="6" customWidth="1"/>
    <col min="753" max="753" width="3.85546875" style="6" customWidth="1"/>
    <col min="754" max="756" width="14.42578125" style="6" customWidth="1"/>
    <col min="757" max="757" width="4.140625" style="6" customWidth="1"/>
    <col min="758" max="758" width="15" style="6" customWidth="1"/>
    <col min="759" max="760" width="9.140625" style="6" customWidth="1"/>
    <col min="761" max="761" width="11.5703125" style="6" customWidth="1"/>
    <col min="762" max="762" width="18.140625" style="6" customWidth="1"/>
    <col min="763" max="763" width="13.140625" style="6" customWidth="1"/>
    <col min="764" max="764" width="12.28515625" style="6" customWidth="1"/>
    <col min="765" max="1002" width="9.140625" style="6"/>
    <col min="1003" max="1003" width="1.42578125" style="6" customWidth="1"/>
    <col min="1004" max="1004" width="59.5703125" style="6" customWidth="1"/>
    <col min="1005" max="1005" width="9.140625" style="6" customWidth="1"/>
    <col min="1006" max="1007" width="3.85546875" style="6" customWidth="1"/>
    <col min="1008" max="1008" width="10.5703125" style="6" customWidth="1"/>
    <col min="1009" max="1009" width="3.85546875" style="6" customWidth="1"/>
    <col min="1010" max="1012" width="14.42578125" style="6" customWidth="1"/>
    <col min="1013" max="1013" width="4.140625" style="6" customWidth="1"/>
    <col min="1014" max="1014" width="15" style="6" customWidth="1"/>
    <col min="1015" max="1016" width="9.140625" style="6" customWidth="1"/>
    <col min="1017" max="1017" width="11.5703125" style="6" customWidth="1"/>
    <col min="1018" max="1018" width="18.140625" style="6" customWidth="1"/>
    <col min="1019" max="1019" width="13.140625" style="6" customWidth="1"/>
    <col min="1020" max="1020" width="12.28515625" style="6" customWidth="1"/>
    <col min="1021" max="1258" width="9.140625" style="6"/>
    <col min="1259" max="1259" width="1.42578125" style="6" customWidth="1"/>
    <col min="1260" max="1260" width="59.5703125" style="6" customWidth="1"/>
    <col min="1261" max="1261" width="9.140625" style="6" customWidth="1"/>
    <col min="1262" max="1263" width="3.85546875" style="6" customWidth="1"/>
    <col min="1264" max="1264" width="10.5703125" style="6" customWidth="1"/>
    <col min="1265" max="1265" width="3.85546875" style="6" customWidth="1"/>
    <col min="1266" max="1268" width="14.42578125" style="6" customWidth="1"/>
    <col min="1269" max="1269" width="4.140625" style="6" customWidth="1"/>
    <col min="1270" max="1270" width="15" style="6" customWidth="1"/>
    <col min="1271" max="1272" width="9.140625" style="6" customWidth="1"/>
    <col min="1273" max="1273" width="11.5703125" style="6" customWidth="1"/>
    <col min="1274" max="1274" width="18.140625" style="6" customWidth="1"/>
    <col min="1275" max="1275" width="13.140625" style="6" customWidth="1"/>
    <col min="1276" max="1276" width="12.28515625" style="6" customWidth="1"/>
    <col min="1277" max="1514" width="9.140625" style="6"/>
    <col min="1515" max="1515" width="1.42578125" style="6" customWidth="1"/>
    <col min="1516" max="1516" width="59.5703125" style="6" customWidth="1"/>
    <col min="1517" max="1517" width="9.140625" style="6" customWidth="1"/>
    <col min="1518" max="1519" width="3.85546875" style="6" customWidth="1"/>
    <col min="1520" max="1520" width="10.5703125" style="6" customWidth="1"/>
    <col min="1521" max="1521" width="3.85546875" style="6" customWidth="1"/>
    <col min="1522" max="1524" width="14.42578125" style="6" customWidth="1"/>
    <col min="1525" max="1525" width="4.140625" style="6" customWidth="1"/>
    <col min="1526" max="1526" width="15" style="6" customWidth="1"/>
    <col min="1527" max="1528" width="9.140625" style="6" customWidth="1"/>
    <col min="1529" max="1529" width="11.5703125" style="6" customWidth="1"/>
    <col min="1530" max="1530" width="18.140625" style="6" customWidth="1"/>
    <col min="1531" max="1531" width="13.140625" style="6" customWidth="1"/>
    <col min="1532" max="1532" width="12.28515625" style="6" customWidth="1"/>
    <col min="1533" max="1770" width="9.140625" style="6"/>
    <col min="1771" max="1771" width="1.42578125" style="6" customWidth="1"/>
    <col min="1772" max="1772" width="59.5703125" style="6" customWidth="1"/>
    <col min="1773" max="1773" width="9.140625" style="6" customWidth="1"/>
    <col min="1774" max="1775" width="3.85546875" style="6" customWidth="1"/>
    <col min="1776" max="1776" width="10.5703125" style="6" customWidth="1"/>
    <col min="1777" max="1777" width="3.85546875" style="6" customWidth="1"/>
    <col min="1778" max="1780" width="14.42578125" style="6" customWidth="1"/>
    <col min="1781" max="1781" width="4.140625" style="6" customWidth="1"/>
    <col min="1782" max="1782" width="15" style="6" customWidth="1"/>
    <col min="1783" max="1784" width="9.140625" style="6" customWidth="1"/>
    <col min="1785" max="1785" width="11.5703125" style="6" customWidth="1"/>
    <col min="1786" max="1786" width="18.140625" style="6" customWidth="1"/>
    <col min="1787" max="1787" width="13.140625" style="6" customWidth="1"/>
    <col min="1788" max="1788" width="12.28515625" style="6" customWidth="1"/>
    <col min="1789" max="2026" width="9.140625" style="6"/>
    <col min="2027" max="2027" width="1.42578125" style="6" customWidth="1"/>
    <col min="2028" max="2028" width="59.5703125" style="6" customWidth="1"/>
    <col min="2029" max="2029" width="9.140625" style="6" customWidth="1"/>
    <col min="2030" max="2031" width="3.85546875" style="6" customWidth="1"/>
    <col min="2032" max="2032" width="10.5703125" style="6" customWidth="1"/>
    <col min="2033" max="2033" width="3.85546875" style="6" customWidth="1"/>
    <col min="2034" max="2036" width="14.42578125" style="6" customWidth="1"/>
    <col min="2037" max="2037" width="4.140625" style="6" customWidth="1"/>
    <col min="2038" max="2038" width="15" style="6" customWidth="1"/>
    <col min="2039" max="2040" width="9.140625" style="6" customWidth="1"/>
    <col min="2041" max="2041" width="11.5703125" style="6" customWidth="1"/>
    <col min="2042" max="2042" width="18.140625" style="6" customWidth="1"/>
    <col min="2043" max="2043" width="13.140625" style="6" customWidth="1"/>
    <col min="2044" max="2044" width="12.28515625" style="6" customWidth="1"/>
    <col min="2045" max="2282" width="9.140625" style="6"/>
    <col min="2283" max="2283" width="1.42578125" style="6" customWidth="1"/>
    <col min="2284" max="2284" width="59.5703125" style="6" customWidth="1"/>
    <col min="2285" max="2285" width="9.140625" style="6" customWidth="1"/>
    <col min="2286" max="2287" width="3.85546875" style="6" customWidth="1"/>
    <col min="2288" max="2288" width="10.5703125" style="6" customWidth="1"/>
    <col min="2289" max="2289" width="3.85546875" style="6" customWidth="1"/>
    <col min="2290" max="2292" width="14.42578125" style="6" customWidth="1"/>
    <col min="2293" max="2293" width="4.140625" style="6" customWidth="1"/>
    <col min="2294" max="2294" width="15" style="6" customWidth="1"/>
    <col min="2295" max="2296" width="9.140625" style="6" customWidth="1"/>
    <col min="2297" max="2297" width="11.5703125" style="6" customWidth="1"/>
    <col min="2298" max="2298" width="18.140625" style="6" customWidth="1"/>
    <col min="2299" max="2299" width="13.140625" style="6" customWidth="1"/>
    <col min="2300" max="2300" width="12.28515625" style="6" customWidth="1"/>
    <col min="2301" max="2538" width="9.140625" style="6"/>
    <col min="2539" max="2539" width="1.42578125" style="6" customWidth="1"/>
    <col min="2540" max="2540" width="59.5703125" style="6" customWidth="1"/>
    <col min="2541" max="2541" width="9.140625" style="6" customWidth="1"/>
    <col min="2542" max="2543" width="3.85546875" style="6" customWidth="1"/>
    <col min="2544" max="2544" width="10.5703125" style="6" customWidth="1"/>
    <col min="2545" max="2545" width="3.85546875" style="6" customWidth="1"/>
    <col min="2546" max="2548" width="14.42578125" style="6" customWidth="1"/>
    <col min="2549" max="2549" width="4.140625" style="6" customWidth="1"/>
    <col min="2550" max="2550" width="15" style="6" customWidth="1"/>
    <col min="2551" max="2552" width="9.140625" style="6" customWidth="1"/>
    <col min="2553" max="2553" width="11.5703125" style="6" customWidth="1"/>
    <col min="2554" max="2554" width="18.140625" style="6" customWidth="1"/>
    <col min="2555" max="2555" width="13.140625" style="6" customWidth="1"/>
    <col min="2556" max="2556" width="12.28515625" style="6" customWidth="1"/>
    <col min="2557" max="2794" width="9.140625" style="6"/>
    <col min="2795" max="2795" width="1.42578125" style="6" customWidth="1"/>
    <col min="2796" max="2796" width="59.5703125" style="6" customWidth="1"/>
    <col min="2797" max="2797" width="9.140625" style="6" customWidth="1"/>
    <col min="2798" max="2799" width="3.85546875" style="6" customWidth="1"/>
    <col min="2800" max="2800" width="10.5703125" style="6" customWidth="1"/>
    <col min="2801" max="2801" width="3.85546875" style="6" customWidth="1"/>
    <col min="2802" max="2804" width="14.42578125" style="6" customWidth="1"/>
    <col min="2805" max="2805" width="4.140625" style="6" customWidth="1"/>
    <col min="2806" max="2806" width="15" style="6" customWidth="1"/>
    <col min="2807" max="2808" width="9.140625" style="6" customWidth="1"/>
    <col min="2809" max="2809" width="11.5703125" style="6" customWidth="1"/>
    <col min="2810" max="2810" width="18.140625" style="6" customWidth="1"/>
    <col min="2811" max="2811" width="13.140625" style="6" customWidth="1"/>
    <col min="2812" max="2812" width="12.28515625" style="6" customWidth="1"/>
    <col min="2813" max="3050" width="9.140625" style="6"/>
    <col min="3051" max="3051" width="1.42578125" style="6" customWidth="1"/>
    <col min="3052" max="3052" width="59.5703125" style="6" customWidth="1"/>
    <col min="3053" max="3053" width="9.140625" style="6" customWidth="1"/>
    <col min="3054" max="3055" width="3.85546875" style="6" customWidth="1"/>
    <col min="3056" max="3056" width="10.5703125" style="6" customWidth="1"/>
    <col min="3057" max="3057" width="3.85546875" style="6" customWidth="1"/>
    <col min="3058" max="3060" width="14.42578125" style="6" customWidth="1"/>
    <col min="3061" max="3061" width="4.140625" style="6" customWidth="1"/>
    <col min="3062" max="3062" width="15" style="6" customWidth="1"/>
    <col min="3063" max="3064" width="9.140625" style="6" customWidth="1"/>
    <col min="3065" max="3065" width="11.5703125" style="6" customWidth="1"/>
    <col min="3066" max="3066" width="18.140625" style="6" customWidth="1"/>
    <col min="3067" max="3067" width="13.140625" style="6" customWidth="1"/>
    <col min="3068" max="3068" width="12.28515625" style="6" customWidth="1"/>
    <col min="3069" max="3306" width="9.140625" style="6"/>
    <col min="3307" max="3307" width="1.42578125" style="6" customWidth="1"/>
    <col min="3308" max="3308" width="59.5703125" style="6" customWidth="1"/>
    <col min="3309" max="3309" width="9.140625" style="6" customWidth="1"/>
    <col min="3310" max="3311" width="3.85546875" style="6" customWidth="1"/>
    <col min="3312" max="3312" width="10.5703125" style="6" customWidth="1"/>
    <col min="3313" max="3313" width="3.85546875" style="6" customWidth="1"/>
    <col min="3314" max="3316" width="14.42578125" style="6" customWidth="1"/>
    <col min="3317" max="3317" width="4.140625" style="6" customWidth="1"/>
    <col min="3318" max="3318" width="15" style="6" customWidth="1"/>
    <col min="3319" max="3320" width="9.140625" style="6" customWidth="1"/>
    <col min="3321" max="3321" width="11.5703125" style="6" customWidth="1"/>
    <col min="3322" max="3322" width="18.140625" style="6" customWidth="1"/>
    <col min="3323" max="3323" width="13.140625" style="6" customWidth="1"/>
    <col min="3324" max="3324" width="12.28515625" style="6" customWidth="1"/>
    <col min="3325" max="3562" width="9.140625" style="6"/>
    <col min="3563" max="3563" width="1.42578125" style="6" customWidth="1"/>
    <col min="3564" max="3564" width="59.5703125" style="6" customWidth="1"/>
    <col min="3565" max="3565" width="9.140625" style="6" customWidth="1"/>
    <col min="3566" max="3567" width="3.85546875" style="6" customWidth="1"/>
    <col min="3568" max="3568" width="10.5703125" style="6" customWidth="1"/>
    <col min="3569" max="3569" width="3.85546875" style="6" customWidth="1"/>
    <col min="3570" max="3572" width="14.42578125" style="6" customWidth="1"/>
    <col min="3573" max="3573" width="4.140625" style="6" customWidth="1"/>
    <col min="3574" max="3574" width="15" style="6" customWidth="1"/>
    <col min="3575" max="3576" width="9.140625" style="6" customWidth="1"/>
    <col min="3577" max="3577" width="11.5703125" style="6" customWidth="1"/>
    <col min="3578" max="3578" width="18.140625" style="6" customWidth="1"/>
    <col min="3579" max="3579" width="13.140625" style="6" customWidth="1"/>
    <col min="3580" max="3580" width="12.28515625" style="6" customWidth="1"/>
    <col min="3581" max="3818" width="9.140625" style="6"/>
    <col min="3819" max="3819" width="1.42578125" style="6" customWidth="1"/>
    <col min="3820" max="3820" width="59.5703125" style="6" customWidth="1"/>
    <col min="3821" max="3821" width="9.140625" style="6" customWidth="1"/>
    <col min="3822" max="3823" width="3.85546875" style="6" customWidth="1"/>
    <col min="3824" max="3824" width="10.5703125" style="6" customWidth="1"/>
    <col min="3825" max="3825" width="3.85546875" style="6" customWidth="1"/>
    <col min="3826" max="3828" width="14.42578125" style="6" customWidth="1"/>
    <col min="3829" max="3829" width="4.140625" style="6" customWidth="1"/>
    <col min="3830" max="3830" width="15" style="6" customWidth="1"/>
    <col min="3831" max="3832" width="9.140625" style="6" customWidth="1"/>
    <col min="3833" max="3833" width="11.5703125" style="6" customWidth="1"/>
    <col min="3834" max="3834" width="18.140625" style="6" customWidth="1"/>
    <col min="3835" max="3835" width="13.140625" style="6" customWidth="1"/>
    <col min="3836" max="3836" width="12.28515625" style="6" customWidth="1"/>
    <col min="3837" max="4074" width="9.140625" style="6"/>
    <col min="4075" max="4075" width="1.42578125" style="6" customWidth="1"/>
    <col min="4076" max="4076" width="59.5703125" style="6" customWidth="1"/>
    <col min="4077" max="4077" width="9.140625" style="6" customWidth="1"/>
    <col min="4078" max="4079" width="3.85546875" style="6" customWidth="1"/>
    <col min="4080" max="4080" width="10.5703125" style="6" customWidth="1"/>
    <col min="4081" max="4081" width="3.85546875" style="6" customWidth="1"/>
    <col min="4082" max="4084" width="14.42578125" style="6" customWidth="1"/>
    <col min="4085" max="4085" width="4.140625" style="6" customWidth="1"/>
    <col min="4086" max="4086" width="15" style="6" customWidth="1"/>
    <col min="4087" max="4088" width="9.140625" style="6" customWidth="1"/>
    <col min="4089" max="4089" width="11.5703125" style="6" customWidth="1"/>
    <col min="4090" max="4090" width="18.140625" style="6" customWidth="1"/>
    <col min="4091" max="4091" width="13.140625" style="6" customWidth="1"/>
    <col min="4092" max="4092" width="12.28515625" style="6" customWidth="1"/>
    <col min="4093" max="4330" width="9.140625" style="6"/>
    <col min="4331" max="4331" width="1.42578125" style="6" customWidth="1"/>
    <col min="4332" max="4332" width="59.5703125" style="6" customWidth="1"/>
    <col min="4333" max="4333" width="9.140625" style="6" customWidth="1"/>
    <col min="4334" max="4335" width="3.85546875" style="6" customWidth="1"/>
    <col min="4336" max="4336" width="10.5703125" style="6" customWidth="1"/>
    <col min="4337" max="4337" width="3.85546875" style="6" customWidth="1"/>
    <col min="4338" max="4340" width="14.42578125" style="6" customWidth="1"/>
    <col min="4341" max="4341" width="4.140625" style="6" customWidth="1"/>
    <col min="4342" max="4342" width="15" style="6" customWidth="1"/>
    <col min="4343" max="4344" width="9.140625" style="6" customWidth="1"/>
    <col min="4345" max="4345" width="11.5703125" style="6" customWidth="1"/>
    <col min="4346" max="4346" width="18.140625" style="6" customWidth="1"/>
    <col min="4347" max="4347" width="13.140625" style="6" customWidth="1"/>
    <col min="4348" max="4348" width="12.28515625" style="6" customWidth="1"/>
    <col min="4349" max="4586" width="9.140625" style="6"/>
    <col min="4587" max="4587" width="1.42578125" style="6" customWidth="1"/>
    <col min="4588" max="4588" width="59.5703125" style="6" customWidth="1"/>
    <col min="4589" max="4589" width="9.140625" style="6" customWidth="1"/>
    <col min="4590" max="4591" width="3.85546875" style="6" customWidth="1"/>
    <col min="4592" max="4592" width="10.5703125" style="6" customWidth="1"/>
    <col min="4593" max="4593" width="3.85546875" style="6" customWidth="1"/>
    <col min="4594" max="4596" width="14.42578125" style="6" customWidth="1"/>
    <col min="4597" max="4597" width="4.140625" style="6" customWidth="1"/>
    <col min="4598" max="4598" width="15" style="6" customWidth="1"/>
    <col min="4599" max="4600" width="9.140625" style="6" customWidth="1"/>
    <col min="4601" max="4601" width="11.5703125" style="6" customWidth="1"/>
    <col min="4602" max="4602" width="18.140625" style="6" customWidth="1"/>
    <col min="4603" max="4603" width="13.140625" style="6" customWidth="1"/>
    <col min="4604" max="4604" width="12.28515625" style="6" customWidth="1"/>
    <col min="4605" max="4842" width="9.140625" style="6"/>
    <col min="4843" max="4843" width="1.42578125" style="6" customWidth="1"/>
    <col min="4844" max="4844" width="59.5703125" style="6" customWidth="1"/>
    <col min="4845" max="4845" width="9.140625" style="6" customWidth="1"/>
    <col min="4846" max="4847" width="3.85546875" style="6" customWidth="1"/>
    <col min="4848" max="4848" width="10.5703125" style="6" customWidth="1"/>
    <col min="4849" max="4849" width="3.85546875" style="6" customWidth="1"/>
    <col min="4850" max="4852" width="14.42578125" style="6" customWidth="1"/>
    <col min="4853" max="4853" width="4.140625" style="6" customWidth="1"/>
    <col min="4854" max="4854" width="15" style="6" customWidth="1"/>
    <col min="4855" max="4856" width="9.140625" style="6" customWidth="1"/>
    <col min="4857" max="4857" width="11.5703125" style="6" customWidth="1"/>
    <col min="4858" max="4858" width="18.140625" style="6" customWidth="1"/>
    <col min="4859" max="4859" width="13.140625" style="6" customWidth="1"/>
    <col min="4860" max="4860" width="12.28515625" style="6" customWidth="1"/>
    <col min="4861" max="5098" width="9.140625" style="6"/>
    <col min="5099" max="5099" width="1.42578125" style="6" customWidth="1"/>
    <col min="5100" max="5100" width="59.5703125" style="6" customWidth="1"/>
    <col min="5101" max="5101" width="9.140625" style="6" customWidth="1"/>
    <col min="5102" max="5103" width="3.85546875" style="6" customWidth="1"/>
    <col min="5104" max="5104" width="10.5703125" style="6" customWidth="1"/>
    <col min="5105" max="5105" width="3.85546875" style="6" customWidth="1"/>
    <col min="5106" max="5108" width="14.42578125" style="6" customWidth="1"/>
    <col min="5109" max="5109" width="4.140625" style="6" customWidth="1"/>
    <col min="5110" max="5110" width="15" style="6" customWidth="1"/>
    <col min="5111" max="5112" width="9.140625" style="6" customWidth="1"/>
    <col min="5113" max="5113" width="11.5703125" style="6" customWidth="1"/>
    <col min="5114" max="5114" width="18.140625" style="6" customWidth="1"/>
    <col min="5115" max="5115" width="13.140625" style="6" customWidth="1"/>
    <col min="5116" max="5116" width="12.28515625" style="6" customWidth="1"/>
    <col min="5117" max="5354" width="9.140625" style="6"/>
    <col min="5355" max="5355" width="1.42578125" style="6" customWidth="1"/>
    <col min="5356" max="5356" width="59.5703125" style="6" customWidth="1"/>
    <col min="5357" max="5357" width="9.140625" style="6" customWidth="1"/>
    <col min="5358" max="5359" width="3.85546875" style="6" customWidth="1"/>
    <col min="5360" max="5360" width="10.5703125" style="6" customWidth="1"/>
    <col min="5361" max="5361" width="3.85546875" style="6" customWidth="1"/>
    <col min="5362" max="5364" width="14.42578125" style="6" customWidth="1"/>
    <col min="5365" max="5365" width="4.140625" style="6" customWidth="1"/>
    <col min="5366" max="5366" width="15" style="6" customWidth="1"/>
    <col min="5367" max="5368" width="9.140625" style="6" customWidth="1"/>
    <col min="5369" max="5369" width="11.5703125" style="6" customWidth="1"/>
    <col min="5370" max="5370" width="18.140625" style="6" customWidth="1"/>
    <col min="5371" max="5371" width="13.140625" style="6" customWidth="1"/>
    <col min="5372" max="5372" width="12.28515625" style="6" customWidth="1"/>
    <col min="5373" max="5610" width="9.140625" style="6"/>
    <col min="5611" max="5611" width="1.42578125" style="6" customWidth="1"/>
    <col min="5612" max="5612" width="59.5703125" style="6" customWidth="1"/>
    <col min="5613" max="5613" width="9.140625" style="6" customWidth="1"/>
    <col min="5614" max="5615" width="3.85546875" style="6" customWidth="1"/>
    <col min="5616" max="5616" width="10.5703125" style="6" customWidth="1"/>
    <col min="5617" max="5617" width="3.85546875" style="6" customWidth="1"/>
    <col min="5618" max="5620" width="14.42578125" style="6" customWidth="1"/>
    <col min="5621" max="5621" width="4.140625" style="6" customWidth="1"/>
    <col min="5622" max="5622" width="15" style="6" customWidth="1"/>
    <col min="5623" max="5624" width="9.140625" style="6" customWidth="1"/>
    <col min="5625" max="5625" width="11.5703125" style="6" customWidth="1"/>
    <col min="5626" max="5626" width="18.140625" style="6" customWidth="1"/>
    <col min="5627" max="5627" width="13.140625" style="6" customWidth="1"/>
    <col min="5628" max="5628" width="12.28515625" style="6" customWidth="1"/>
    <col min="5629" max="5866" width="9.140625" style="6"/>
    <col min="5867" max="5867" width="1.42578125" style="6" customWidth="1"/>
    <col min="5868" max="5868" width="59.5703125" style="6" customWidth="1"/>
    <col min="5869" max="5869" width="9.140625" style="6" customWidth="1"/>
    <col min="5870" max="5871" width="3.85546875" style="6" customWidth="1"/>
    <col min="5872" max="5872" width="10.5703125" style="6" customWidth="1"/>
    <col min="5873" max="5873" width="3.85546875" style="6" customWidth="1"/>
    <col min="5874" max="5876" width="14.42578125" style="6" customWidth="1"/>
    <col min="5877" max="5877" width="4.140625" style="6" customWidth="1"/>
    <col min="5878" max="5878" width="15" style="6" customWidth="1"/>
    <col min="5879" max="5880" width="9.140625" style="6" customWidth="1"/>
    <col min="5881" max="5881" width="11.5703125" style="6" customWidth="1"/>
    <col min="5882" max="5882" width="18.140625" style="6" customWidth="1"/>
    <col min="5883" max="5883" width="13.140625" style="6" customWidth="1"/>
    <col min="5884" max="5884" width="12.28515625" style="6" customWidth="1"/>
    <col min="5885" max="6122" width="9.140625" style="6"/>
    <col min="6123" max="6123" width="1.42578125" style="6" customWidth="1"/>
    <col min="6124" max="6124" width="59.5703125" style="6" customWidth="1"/>
    <col min="6125" max="6125" width="9.140625" style="6" customWidth="1"/>
    <col min="6126" max="6127" width="3.85546875" style="6" customWidth="1"/>
    <col min="6128" max="6128" width="10.5703125" style="6" customWidth="1"/>
    <col min="6129" max="6129" width="3.85546875" style="6" customWidth="1"/>
    <col min="6130" max="6132" width="14.42578125" style="6" customWidth="1"/>
    <col min="6133" max="6133" width="4.140625" style="6" customWidth="1"/>
    <col min="6134" max="6134" width="15" style="6" customWidth="1"/>
    <col min="6135" max="6136" width="9.140625" style="6" customWidth="1"/>
    <col min="6137" max="6137" width="11.5703125" style="6" customWidth="1"/>
    <col min="6138" max="6138" width="18.140625" style="6" customWidth="1"/>
    <col min="6139" max="6139" width="13.140625" style="6" customWidth="1"/>
    <col min="6140" max="6140" width="12.28515625" style="6" customWidth="1"/>
    <col min="6141" max="6378" width="9.140625" style="6"/>
    <col min="6379" max="6379" width="1.42578125" style="6" customWidth="1"/>
    <col min="6380" max="6380" width="59.5703125" style="6" customWidth="1"/>
    <col min="6381" max="6381" width="9.140625" style="6" customWidth="1"/>
    <col min="6382" max="6383" width="3.85546875" style="6" customWidth="1"/>
    <col min="6384" max="6384" width="10.5703125" style="6" customWidth="1"/>
    <col min="6385" max="6385" width="3.85546875" style="6" customWidth="1"/>
    <col min="6386" max="6388" width="14.42578125" style="6" customWidth="1"/>
    <col min="6389" max="6389" width="4.140625" style="6" customWidth="1"/>
    <col min="6390" max="6390" width="15" style="6" customWidth="1"/>
    <col min="6391" max="6392" width="9.140625" style="6" customWidth="1"/>
    <col min="6393" max="6393" width="11.5703125" style="6" customWidth="1"/>
    <col min="6394" max="6394" width="18.140625" style="6" customWidth="1"/>
    <col min="6395" max="6395" width="13.140625" style="6" customWidth="1"/>
    <col min="6396" max="6396" width="12.28515625" style="6" customWidth="1"/>
    <col min="6397" max="6634" width="9.140625" style="6"/>
    <col min="6635" max="6635" width="1.42578125" style="6" customWidth="1"/>
    <col min="6636" max="6636" width="59.5703125" style="6" customWidth="1"/>
    <col min="6637" max="6637" width="9.140625" style="6" customWidth="1"/>
    <col min="6638" max="6639" width="3.85546875" style="6" customWidth="1"/>
    <col min="6640" max="6640" width="10.5703125" style="6" customWidth="1"/>
    <col min="6641" max="6641" width="3.85546875" style="6" customWidth="1"/>
    <col min="6642" max="6644" width="14.42578125" style="6" customWidth="1"/>
    <col min="6645" max="6645" width="4.140625" style="6" customWidth="1"/>
    <col min="6646" max="6646" width="15" style="6" customWidth="1"/>
    <col min="6647" max="6648" width="9.140625" style="6" customWidth="1"/>
    <col min="6649" max="6649" width="11.5703125" style="6" customWidth="1"/>
    <col min="6650" max="6650" width="18.140625" style="6" customWidth="1"/>
    <col min="6651" max="6651" width="13.140625" style="6" customWidth="1"/>
    <col min="6652" max="6652" width="12.28515625" style="6" customWidth="1"/>
    <col min="6653" max="6890" width="9.140625" style="6"/>
    <col min="6891" max="6891" width="1.42578125" style="6" customWidth="1"/>
    <col min="6892" max="6892" width="59.5703125" style="6" customWidth="1"/>
    <col min="6893" max="6893" width="9.140625" style="6" customWidth="1"/>
    <col min="6894" max="6895" width="3.85546875" style="6" customWidth="1"/>
    <col min="6896" max="6896" width="10.5703125" style="6" customWidth="1"/>
    <col min="6897" max="6897" width="3.85546875" style="6" customWidth="1"/>
    <col min="6898" max="6900" width="14.42578125" style="6" customWidth="1"/>
    <col min="6901" max="6901" width="4.140625" style="6" customWidth="1"/>
    <col min="6902" max="6902" width="15" style="6" customWidth="1"/>
    <col min="6903" max="6904" width="9.140625" style="6" customWidth="1"/>
    <col min="6905" max="6905" width="11.5703125" style="6" customWidth="1"/>
    <col min="6906" max="6906" width="18.140625" style="6" customWidth="1"/>
    <col min="6907" max="6907" width="13.140625" style="6" customWidth="1"/>
    <col min="6908" max="6908" width="12.28515625" style="6" customWidth="1"/>
    <col min="6909" max="7146" width="9.140625" style="6"/>
    <col min="7147" max="7147" width="1.42578125" style="6" customWidth="1"/>
    <col min="7148" max="7148" width="59.5703125" style="6" customWidth="1"/>
    <col min="7149" max="7149" width="9.140625" style="6" customWidth="1"/>
    <col min="7150" max="7151" width="3.85546875" style="6" customWidth="1"/>
    <col min="7152" max="7152" width="10.5703125" style="6" customWidth="1"/>
    <col min="7153" max="7153" width="3.85546875" style="6" customWidth="1"/>
    <col min="7154" max="7156" width="14.42578125" style="6" customWidth="1"/>
    <col min="7157" max="7157" width="4.140625" style="6" customWidth="1"/>
    <col min="7158" max="7158" width="15" style="6" customWidth="1"/>
    <col min="7159" max="7160" width="9.140625" style="6" customWidth="1"/>
    <col min="7161" max="7161" width="11.5703125" style="6" customWidth="1"/>
    <col min="7162" max="7162" width="18.140625" style="6" customWidth="1"/>
    <col min="7163" max="7163" width="13.140625" style="6" customWidth="1"/>
    <col min="7164" max="7164" width="12.28515625" style="6" customWidth="1"/>
    <col min="7165" max="7402" width="9.140625" style="6"/>
    <col min="7403" max="7403" width="1.42578125" style="6" customWidth="1"/>
    <col min="7404" max="7404" width="59.5703125" style="6" customWidth="1"/>
    <col min="7405" max="7405" width="9.140625" style="6" customWidth="1"/>
    <col min="7406" max="7407" width="3.85546875" style="6" customWidth="1"/>
    <col min="7408" max="7408" width="10.5703125" style="6" customWidth="1"/>
    <col min="7409" max="7409" width="3.85546875" style="6" customWidth="1"/>
    <col min="7410" max="7412" width="14.42578125" style="6" customWidth="1"/>
    <col min="7413" max="7413" width="4.140625" style="6" customWidth="1"/>
    <col min="7414" max="7414" width="15" style="6" customWidth="1"/>
    <col min="7415" max="7416" width="9.140625" style="6" customWidth="1"/>
    <col min="7417" max="7417" width="11.5703125" style="6" customWidth="1"/>
    <col min="7418" max="7418" width="18.140625" style="6" customWidth="1"/>
    <col min="7419" max="7419" width="13.140625" style="6" customWidth="1"/>
    <col min="7420" max="7420" width="12.28515625" style="6" customWidth="1"/>
    <col min="7421" max="7658" width="9.140625" style="6"/>
    <col min="7659" max="7659" width="1.42578125" style="6" customWidth="1"/>
    <col min="7660" max="7660" width="59.5703125" style="6" customWidth="1"/>
    <col min="7661" max="7661" width="9.140625" style="6" customWidth="1"/>
    <col min="7662" max="7663" width="3.85546875" style="6" customWidth="1"/>
    <col min="7664" max="7664" width="10.5703125" style="6" customWidth="1"/>
    <col min="7665" max="7665" width="3.85546875" style="6" customWidth="1"/>
    <col min="7666" max="7668" width="14.42578125" style="6" customWidth="1"/>
    <col min="7669" max="7669" width="4.140625" style="6" customWidth="1"/>
    <col min="7670" max="7670" width="15" style="6" customWidth="1"/>
    <col min="7671" max="7672" width="9.140625" style="6" customWidth="1"/>
    <col min="7673" max="7673" width="11.5703125" style="6" customWidth="1"/>
    <col min="7674" max="7674" width="18.140625" style="6" customWidth="1"/>
    <col min="7675" max="7675" width="13.140625" style="6" customWidth="1"/>
    <col min="7676" max="7676" width="12.28515625" style="6" customWidth="1"/>
    <col min="7677" max="7914" width="9.140625" style="6"/>
    <col min="7915" max="7915" width="1.42578125" style="6" customWidth="1"/>
    <col min="7916" max="7916" width="59.5703125" style="6" customWidth="1"/>
    <col min="7917" max="7917" width="9.140625" style="6" customWidth="1"/>
    <col min="7918" max="7919" width="3.85546875" style="6" customWidth="1"/>
    <col min="7920" max="7920" width="10.5703125" style="6" customWidth="1"/>
    <col min="7921" max="7921" width="3.85546875" style="6" customWidth="1"/>
    <col min="7922" max="7924" width="14.42578125" style="6" customWidth="1"/>
    <col min="7925" max="7925" width="4.140625" style="6" customWidth="1"/>
    <col min="7926" max="7926" width="15" style="6" customWidth="1"/>
    <col min="7927" max="7928" width="9.140625" style="6" customWidth="1"/>
    <col min="7929" max="7929" width="11.5703125" style="6" customWidth="1"/>
    <col min="7930" max="7930" width="18.140625" style="6" customWidth="1"/>
    <col min="7931" max="7931" width="13.140625" style="6" customWidth="1"/>
    <col min="7932" max="7932" width="12.28515625" style="6" customWidth="1"/>
    <col min="7933" max="8170" width="9.140625" style="6"/>
    <col min="8171" max="8171" width="1.42578125" style="6" customWidth="1"/>
    <col min="8172" max="8172" width="59.5703125" style="6" customWidth="1"/>
    <col min="8173" max="8173" width="9.140625" style="6" customWidth="1"/>
    <col min="8174" max="8175" width="3.85546875" style="6" customWidth="1"/>
    <col min="8176" max="8176" width="10.5703125" style="6" customWidth="1"/>
    <col min="8177" max="8177" width="3.85546875" style="6" customWidth="1"/>
    <col min="8178" max="8180" width="14.42578125" style="6" customWidth="1"/>
    <col min="8181" max="8181" width="4.140625" style="6" customWidth="1"/>
    <col min="8182" max="8182" width="15" style="6" customWidth="1"/>
    <col min="8183" max="8184" width="9.140625" style="6" customWidth="1"/>
    <col min="8185" max="8185" width="11.5703125" style="6" customWidth="1"/>
    <col min="8186" max="8186" width="18.140625" style="6" customWidth="1"/>
    <col min="8187" max="8187" width="13.140625" style="6" customWidth="1"/>
    <col min="8188" max="8188" width="12.28515625" style="6" customWidth="1"/>
    <col min="8189" max="8426" width="9.140625" style="6"/>
    <col min="8427" max="8427" width="1.42578125" style="6" customWidth="1"/>
    <col min="8428" max="8428" width="59.5703125" style="6" customWidth="1"/>
    <col min="8429" max="8429" width="9.140625" style="6" customWidth="1"/>
    <col min="8430" max="8431" width="3.85546875" style="6" customWidth="1"/>
    <col min="8432" max="8432" width="10.5703125" style="6" customWidth="1"/>
    <col min="8433" max="8433" width="3.85546875" style="6" customWidth="1"/>
    <col min="8434" max="8436" width="14.42578125" style="6" customWidth="1"/>
    <col min="8437" max="8437" width="4.140625" style="6" customWidth="1"/>
    <col min="8438" max="8438" width="15" style="6" customWidth="1"/>
    <col min="8439" max="8440" width="9.140625" style="6" customWidth="1"/>
    <col min="8441" max="8441" width="11.5703125" style="6" customWidth="1"/>
    <col min="8442" max="8442" width="18.140625" style="6" customWidth="1"/>
    <col min="8443" max="8443" width="13.140625" style="6" customWidth="1"/>
    <col min="8444" max="8444" width="12.28515625" style="6" customWidth="1"/>
    <col min="8445" max="8682" width="9.140625" style="6"/>
    <col min="8683" max="8683" width="1.42578125" style="6" customWidth="1"/>
    <col min="8684" max="8684" width="59.5703125" style="6" customWidth="1"/>
    <col min="8685" max="8685" width="9.140625" style="6" customWidth="1"/>
    <col min="8686" max="8687" width="3.85546875" style="6" customWidth="1"/>
    <col min="8688" max="8688" width="10.5703125" style="6" customWidth="1"/>
    <col min="8689" max="8689" width="3.85546875" style="6" customWidth="1"/>
    <col min="8690" max="8692" width="14.42578125" style="6" customWidth="1"/>
    <col min="8693" max="8693" width="4.140625" style="6" customWidth="1"/>
    <col min="8694" max="8694" width="15" style="6" customWidth="1"/>
    <col min="8695" max="8696" width="9.140625" style="6" customWidth="1"/>
    <col min="8697" max="8697" width="11.5703125" style="6" customWidth="1"/>
    <col min="8698" max="8698" width="18.140625" style="6" customWidth="1"/>
    <col min="8699" max="8699" width="13.140625" style="6" customWidth="1"/>
    <col min="8700" max="8700" width="12.28515625" style="6" customWidth="1"/>
    <col min="8701" max="8938" width="9.140625" style="6"/>
    <col min="8939" max="8939" width="1.42578125" style="6" customWidth="1"/>
    <col min="8940" max="8940" width="59.5703125" style="6" customWidth="1"/>
    <col min="8941" max="8941" width="9.140625" style="6" customWidth="1"/>
    <col min="8942" max="8943" width="3.85546875" style="6" customWidth="1"/>
    <col min="8944" max="8944" width="10.5703125" style="6" customWidth="1"/>
    <col min="8945" max="8945" width="3.85546875" style="6" customWidth="1"/>
    <col min="8946" max="8948" width="14.42578125" style="6" customWidth="1"/>
    <col min="8949" max="8949" width="4.140625" style="6" customWidth="1"/>
    <col min="8950" max="8950" width="15" style="6" customWidth="1"/>
    <col min="8951" max="8952" width="9.140625" style="6" customWidth="1"/>
    <col min="8953" max="8953" width="11.5703125" style="6" customWidth="1"/>
    <col min="8954" max="8954" width="18.140625" style="6" customWidth="1"/>
    <col min="8955" max="8955" width="13.140625" style="6" customWidth="1"/>
    <col min="8956" max="8956" width="12.28515625" style="6" customWidth="1"/>
    <col min="8957" max="9194" width="9.140625" style="6"/>
    <col min="9195" max="9195" width="1.42578125" style="6" customWidth="1"/>
    <col min="9196" max="9196" width="59.5703125" style="6" customWidth="1"/>
    <col min="9197" max="9197" width="9.140625" style="6" customWidth="1"/>
    <col min="9198" max="9199" width="3.85546875" style="6" customWidth="1"/>
    <col min="9200" max="9200" width="10.5703125" style="6" customWidth="1"/>
    <col min="9201" max="9201" width="3.85546875" style="6" customWidth="1"/>
    <col min="9202" max="9204" width="14.42578125" style="6" customWidth="1"/>
    <col min="9205" max="9205" width="4.140625" style="6" customWidth="1"/>
    <col min="9206" max="9206" width="15" style="6" customWidth="1"/>
    <col min="9207" max="9208" width="9.140625" style="6" customWidth="1"/>
    <col min="9209" max="9209" width="11.5703125" style="6" customWidth="1"/>
    <col min="9210" max="9210" width="18.140625" style="6" customWidth="1"/>
    <col min="9211" max="9211" width="13.140625" style="6" customWidth="1"/>
    <col min="9212" max="9212" width="12.28515625" style="6" customWidth="1"/>
    <col min="9213" max="9450" width="9.140625" style="6"/>
    <col min="9451" max="9451" width="1.42578125" style="6" customWidth="1"/>
    <col min="9452" max="9452" width="59.5703125" style="6" customWidth="1"/>
    <col min="9453" max="9453" width="9.140625" style="6" customWidth="1"/>
    <col min="9454" max="9455" width="3.85546875" style="6" customWidth="1"/>
    <col min="9456" max="9456" width="10.5703125" style="6" customWidth="1"/>
    <col min="9457" max="9457" width="3.85546875" style="6" customWidth="1"/>
    <col min="9458" max="9460" width="14.42578125" style="6" customWidth="1"/>
    <col min="9461" max="9461" width="4.140625" style="6" customWidth="1"/>
    <col min="9462" max="9462" width="15" style="6" customWidth="1"/>
    <col min="9463" max="9464" width="9.140625" style="6" customWidth="1"/>
    <col min="9465" max="9465" width="11.5703125" style="6" customWidth="1"/>
    <col min="9466" max="9466" width="18.140625" style="6" customWidth="1"/>
    <col min="9467" max="9467" width="13.140625" style="6" customWidth="1"/>
    <col min="9468" max="9468" width="12.28515625" style="6" customWidth="1"/>
    <col min="9469" max="9706" width="9.140625" style="6"/>
    <col min="9707" max="9707" width="1.42578125" style="6" customWidth="1"/>
    <col min="9708" max="9708" width="59.5703125" style="6" customWidth="1"/>
    <col min="9709" max="9709" width="9.140625" style="6" customWidth="1"/>
    <col min="9710" max="9711" width="3.85546875" style="6" customWidth="1"/>
    <col min="9712" max="9712" width="10.5703125" style="6" customWidth="1"/>
    <col min="9713" max="9713" width="3.85546875" style="6" customWidth="1"/>
    <col min="9714" max="9716" width="14.42578125" style="6" customWidth="1"/>
    <col min="9717" max="9717" width="4.140625" style="6" customWidth="1"/>
    <col min="9718" max="9718" width="15" style="6" customWidth="1"/>
    <col min="9719" max="9720" width="9.140625" style="6" customWidth="1"/>
    <col min="9721" max="9721" width="11.5703125" style="6" customWidth="1"/>
    <col min="9722" max="9722" width="18.140625" style="6" customWidth="1"/>
    <col min="9723" max="9723" width="13.140625" style="6" customWidth="1"/>
    <col min="9724" max="9724" width="12.28515625" style="6" customWidth="1"/>
    <col min="9725" max="9962" width="9.140625" style="6"/>
    <col min="9963" max="9963" width="1.42578125" style="6" customWidth="1"/>
    <col min="9964" max="9964" width="59.5703125" style="6" customWidth="1"/>
    <col min="9965" max="9965" width="9.140625" style="6" customWidth="1"/>
    <col min="9966" max="9967" width="3.85546875" style="6" customWidth="1"/>
    <col min="9968" max="9968" width="10.5703125" style="6" customWidth="1"/>
    <col min="9969" max="9969" width="3.85546875" style="6" customWidth="1"/>
    <col min="9970" max="9972" width="14.42578125" style="6" customWidth="1"/>
    <col min="9973" max="9973" width="4.140625" style="6" customWidth="1"/>
    <col min="9974" max="9974" width="15" style="6" customWidth="1"/>
    <col min="9975" max="9976" width="9.140625" style="6" customWidth="1"/>
    <col min="9977" max="9977" width="11.5703125" style="6" customWidth="1"/>
    <col min="9978" max="9978" width="18.140625" style="6" customWidth="1"/>
    <col min="9979" max="9979" width="13.140625" style="6" customWidth="1"/>
    <col min="9980" max="9980" width="12.28515625" style="6" customWidth="1"/>
    <col min="9981" max="10218" width="9.140625" style="6"/>
    <col min="10219" max="10219" width="1.42578125" style="6" customWidth="1"/>
    <col min="10220" max="10220" width="59.5703125" style="6" customWidth="1"/>
    <col min="10221" max="10221" width="9.140625" style="6" customWidth="1"/>
    <col min="10222" max="10223" width="3.85546875" style="6" customWidth="1"/>
    <col min="10224" max="10224" width="10.5703125" style="6" customWidth="1"/>
    <col min="10225" max="10225" width="3.85546875" style="6" customWidth="1"/>
    <col min="10226" max="10228" width="14.42578125" style="6" customWidth="1"/>
    <col min="10229" max="10229" width="4.140625" style="6" customWidth="1"/>
    <col min="10230" max="10230" width="15" style="6" customWidth="1"/>
    <col min="10231" max="10232" width="9.140625" style="6" customWidth="1"/>
    <col min="10233" max="10233" width="11.5703125" style="6" customWidth="1"/>
    <col min="10234" max="10234" width="18.140625" style="6" customWidth="1"/>
    <col min="10235" max="10235" width="13.140625" style="6" customWidth="1"/>
    <col min="10236" max="10236" width="12.28515625" style="6" customWidth="1"/>
    <col min="10237" max="10474" width="9.140625" style="6"/>
    <col min="10475" max="10475" width="1.42578125" style="6" customWidth="1"/>
    <col min="10476" max="10476" width="59.5703125" style="6" customWidth="1"/>
    <col min="10477" max="10477" width="9.140625" style="6" customWidth="1"/>
    <col min="10478" max="10479" width="3.85546875" style="6" customWidth="1"/>
    <col min="10480" max="10480" width="10.5703125" style="6" customWidth="1"/>
    <col min="10481" max="10481" width="3.85546875" style="6" customWidth="1"/>
    <col min="10482" max="10484" width="14.42578125" style="6" customWidth="1"/>
    <col min="10485" max="10485" width="4.140625" style="6" customWidth="1"/>
    <col min="10486" max="10486" width="15" style="6" customWidth="1"/>
    <col min="10487" max="10488" width="9.140625" style="6" customWidth="1"/>
    <col min="10489" max="10489" width="11.5703125" style="6" customWidth="1"/>
    <col min="10490" max="10490" width="18.140625" style="6" customWidth="1"/>
    <col min="10491" max="10491" width="13.140625" style="6" customWidth="1"/>
    <col min="10492" max="10492" width="12.28515625" style="6" customWidth="1"/>
    <col min="10493" max="10730" width="9.140625" style="6"/>
    <col min="10731" max="10731" width="1.42578125" style="6" customWidth="1"/>
    <col min="10732" max="10732" width="59.5703125" style="6" customWidth="1"/>
    <col min="10733" max="10733" width="9.140625" style="6" customWidth="1"/>
    <col min="10734" max="10735" width="3.85546875" style="6" customWidth="1"/>
    <col min="10736" max="10736" width="10.5703125" style="6" customWidth="1"/>
    <col min="10737" max="10737" width="3.85546875" style="6" customWidth="1"/>
    <col min="10738" max="10740" width="14.42578125" style="6" customWidth="1"/>
    <col min="10741" max="10741" width="4.140625" style="6" customWidth="1"/>
    <col min="10742" max="10742" width="15" style="6" customWidth="1"/>
    <col min="10743" max="10744" width="9.140625" style="6" customWidth="1"/>
    <col min="10745" max="10745" width="11.5703125" style="6" customWidth="1"/>
    <col min="10746" max="10746" width="18.140625" style="6" customWidth="1"/>
    <col min="10747" max="10747" width="13.140625" style="6" customWidth="1"/>
    <col min="10748" max="10748" width="12.28515625" style="6" customWidth="1"/>
    <col min="10749" max="10986" width="9.140625" style="6"/>
    <col min="10987" max="10987" width="1.42578125" style="6" customWidth="1"/>
    <col min="10988" max="10988" width="59.5703125" style="6" customWidth="1"/>
    <col min="10989" max="10989" width="9.140625" style="6" customWidth="1"/>
    <col min="10990" max="10991" width="3.85546875" style="6" customWidth="1"/>
    <col min="10992" max="10992" width="10.5703125" style="6" customWidth="1"/>
    <col min="10993" max="10993" width="3.85546875" style="6" customWidth="1"/>
    <col min="10994" max="10996" width="14.42578125" style="6" customWidth="1"/>
    <col min="10997" max="10997" width="4.140625" style="6" customWidth="1"/>
    <col min="10998" max="10998" width="15" style="6" customWidth="1"/>
    <col min="10999" max="11000" width="9.140625" style="6" customWidth="1"/>
    <col min="11001" max="11001" width="11.5703125" style="6" customWidth="1"/>
    <col min="11002" max="11002" width="18.140625" style="6" customWidth="1"/>
    <col min="11003" max="11003" width="13.140625" style="6" customWidth="1"/>
    <col min="11004" max="11004" width="12.28515625" style="6" customWidth="1"/>
    <col min="11005" max="11242" width="9.140625" style="6"/>
    <col min="11243" max="11243" width="1.42578125" style="6" customWidth="1"/>
    <col min="11244" max="11244" width="59.5703125" style="6" customWidth="1"/>
    <col min="11245" max="11245" width="9.140625" style="6" customWidth="1"/>
    <col min="11246" max="11247" width="3.85546875" style="6" customWidth="1"/>
    <col min="11248" max="11248" width="10.5703125" style="6" customWidth="1"/>
    <col min="11249" max="11249" width="3.85546875" style="6" customWidth="1"/>
    <col min="11250" max="11252" width="14.42578125" style="6" customWidth="1"/>
    <col min="11253" max="11253" width="4.140625" style="6" customWidth="1"/>
    <col min="11254" max="11254" width="15" style="6" customWidth="1"/>
    <col min="11255" max="11256" width="9.140625" style="6" customWidth="1"/>
    <col min="11257" max="11257" width="11.5703125" style="6" customWidth="1"/>
    <col min="11258" max="11258" width="18.140625" style="6" customWidth="1"/>
    <col min="11259" max="11259" width="13.140625" style="6" customWidth="1"/>
    <col min="11260" max="11260" width="12.28515625" style="6" customWidth="1"/>
    <col min="11261" max="11498" width="9.140625" style="6"/>
    <col min="11499" max="11499" width="1.42578125" style="6" customWidth="1"/>
    <col min="11500" max="11500" width="59.5703125" style="6" customWidth="1"/>
    <col min="11501" max="11501" width="9.140625" style="6" customWidth="1"/>
    <col min="11502" max="11503" width="3.85546875" style="6" customWidth="1"/>
    <col min="11504" max="11504" width="10.5703125" style="6" customWidth="1"/>
    <col min="11505" max="11505" width="3.85546875" style="6" customWidth="1"/>
    <col min="11506" max="11508" width="14.42578125" style="6" customWidth="1"/>
    <col min="11509" max="11509" width="4.140625" style="6" customWidth="1"/>
    <col min="11510" max="11510" width="15" style="6" customWidth="1"/>
    <col min="11511" max="11512" width="9.140625" style="6" customWidth="1"/>
    <col min="11513" max="11513" width="11.5703125" style="6" customWidth="1"/>
    <col min="11514" max="11514" width="18.140625" style="6" customWidth="1"/>
    <col min="11515" max="11515" width="13.140625" style="6" customWidth="1"/>
    <col min="11516" max="11516" width="12.28515625" style="6" customWidth="1"/>
    <col min="11517" max="11754" width="9.140625" style="6"/>
    <col min="11755" max="11755" width="1.42578125" style="6" customWidth="1"/>
    <col min="11756" max="11756" width="59.5703125" style="6" customWidth="1"/>
    <col min="11757" max="11757" width="9.140625" style="6" customWidth="1"/>
    <col min="11758" max="11759" width="3.85546875" style="6" customWidth="1"/>
    <col min="11760" max="11760" width="10.5703125" style="6" customWidth="1"/>
    <col min="11761" max="11761" width="3.85546875" style="6" customWidth="1"/>
    <col min="11762" max="11764" width="14.42578125" style="6" customWidth="1"/>
    <col min="11765" max="11765" width="4.140625" style="6" customWidth="1"/>
    <col min="11766" max="11766" width="15" style="6" customWidth="1"/>
    <col min="11767" max="11768" width="9.140625" style="6" customWidth="1"/>
    <col min="11769" max="11769" width="11.5703125" style="6" customWidth="1"/>
    <col min="11770" max="11770" width="18.140625" style="6" customWidth="1"/>
    <col min="11771" max="11771" width="13.140625" style="6" customWidth="1"/>
    <col min="11772" max="11772" width="12.28515625" style="6" customWidth="1"/>
    <col min="11773" max="12010" width="9.140625" style="6"/>
    <col min="12011" max="12011" width="1.42578125" style="6" customWidth="1"/>
    <col min="12012" max="12012" width="59.5703125" style="6" customWidth="1"/>
    <col min="12013" max="12013" width="9.140625" style="6" customWidth="1"/>
    <col min="12014" max="12015" width="3.85546875" style="6" customWidth="1"/>
    <col min="12016" max="12016" width="10.5703125" style="6" customWidth="1"/>
    <col min="12017" max="12017" width="3.85546875" style="6" customWidth="1"/>
    <col min="12018" max="12020" width="14.42578125" style="6" customWidth="1"/>
    <col min="12021" max="12021" width="4.140625" style="6" customWidth="1"/>
    <col min="12022" max="12022" width="15" style="6" customWidth="1"/>
    <col min="12023" max="12024" width="9.140625" style="6" customWidth="1"/>
    <col min="12025" max="12025" width="11.5703125" style="6" customWidth="1"/>
    <col min="12026" max="12026" width="18.140625" style="6" customWidth="1"/>
    <col min="12027" max="12027" width="13.140625" style="6" customWidth="1"/>
    <col min="12028" max="12028" width="12.28515625" style="6" customWidth="1"/>
    <col min="12029" max="12266" width="9.140625" style="6"/>
    <col min="12267" max="12267" width="1.42578125" style="6" customWidth="1"/>
    <col min="12268" max="12268" width="59.5703125" style="6" customWidth="1"/>
    <col min="12269" max="12269" width="9.140625" style="6" customWidth="1"/>
    <col min="12270" max="12271" width="3.85546875" style="6" customWidth="1"/>
    <col min="12272" max="12272" width="10.5703125" style="6" customWidth="1"/>
    <col min="12273" max="12273" width="3.85546875" style="6" customWidth="1"/>
    <col min="12274" max="12276" width="14.42578125" style="6" customWidth="1"/>
    <col min="12277" max="12277" width="4.140625" style="6" customWidth="1"/>
    <col min="12278" max="12278" width="15" style="6" customWidth="1"/>
    <col min="12279" max="12280" width="9.140625" style="6" customWidth="1"/>
    <col min="12281" max="12281" width="11.5703125" style="6" customWidth="1"/>
    <col min="12282" max="12282" width="18.140625" style="6" customWidth="1"/>
    <col min="12283" max="12283" width="13.140625" style="6" customWidth="1"/>
    <col min="12284" max="12284" width="12.28515625" style="6" customWidth="1"/>
    <col min="12285" max="12522" width="9.140625" style="6"/>
    <col min="12523" max="12523" width="1.42578125" style="6" customWidth="1"/>
    <col min="12524" max="12524" width="59.5703125" style="6" customWidth="1"/>
    <col min="12525" max="12525" width="9.140625" style="6" customWidth="1"/>
    <col min="12526" max="12527" width="3.85546875" style="6" customWidth="1"/>
    <col min="12528" max="12528" width="10.5703125" style="6" customWidth="1"/>
    <col min="12529" max="12529" width="3.85546875" style="6" customWidth="1"/>
    <col min="12530" max="12532" width="14.42578125" style="6" customWidth="1"/>
    <col min="12533" max="12533" width="4.140625" style="6" customWidth="1"/>
    <col min="12534" max="12534" width="15" style="6" customWidth="1"/>
    <col min="12535" max="12536" width="9.140625" style="6" customWidth="1"/>
    <col min="12537" max="12537" width="11.5703125" style="6" customWidth="1"/>
    <col min="12538" max="12538" width="18.140625" style="6" customWidth="1"/>
    <col min="12539" max="12539" width="13.140625" style="6" customWidth="1"/>
    <col min="12540" max="12540" width="12.28515625" style="6" customWidth="1"/>
    <col min="12541" max="12778" width="9.140625" style="6"/>
    <col min="12779" max="12779" width="1.42578125" style="6" customWidth="1"/>
    <col min="12780" max="12780" width="59.5703125" style="6" customWidth="1"/>
    <col min="12781" max="12781" width="9.140625" style="6" customWidth="1"/>
    <col min="12782" max="12783" width="3.85546875" style="6" customWidth="1"/>
    <col min="12784" max="12784" width="10.5703125" style="6" customWidth="1"/>
    <col min="12785" max="12785" width="3.85546875" style="6" customWidth="1"/>
    <col min="12786" max="12788" width="14.42578125" style="6" customWidth="1"/>
    <col min="12789" max="12789" width="4.140625" style="6" customWidth="1"/>
    <col min="12790" max="12790" width="15" style="6" customWidth="1"/>
    <col min="12791" max="12792" width="9.140625" style="6" customWidth="1"/>
    <col min="12793" max="12793" width="11.5703125" style="6" customWidth="1"/>
    <col min="12794" max="12794" width="18.140625" style="6" customWidth="1"/>
    <col min="12795" max="12795" width="13.140625" style="6" customWidth="1"/>
    <col min="12796" max="12796" width="12.28515625" style="6" customWidth="1"/>
    <col min="12797" max="13034" width="9.140625" style="6"/>
    <col min="13035" max="13035" width="1.42578125" style="6" customWidth="1"/>
    <col min="13036" max="13036" width="59.5703125" style="6" customWidth="1"/>
    <col min="13037" max="13037" width="9.140625" style="6" customWidth="1"/>
    <col min="13038" max="13039" width="3.85546875" style="6" customWidth="1"/>
    <col min="13040" max="13040" width="10.5703125" style="6" customWidth="1"/>
    <col min="13041" max="13041" width="3.85546875" style="6" customWidth="1"/>
    <col min="13042" max="13044" width="14.42578125" style="6" customWidth="1"/>
    <col min="13045" max="13045" width="4.140625" style="6" customWidth="1"/>
    <col min="13046" max="13046" width="15" style="6" customWidth="1"/>
    <col min="13047" max="13048" width="9.140625" style="6" customWidth="1"/>
    <col min="13049" max="13049" width="11.5703125" style="6" customWidth="1"/>
    <col min="13050" max="13050" width="18.140625" style="6" customWidth="1"/>
    <col min="13051" max="13051" width="13.140625" style="6" customWidth="1"/>
    <col min="13052" max="13052" width="12.28515625" style="6" customWidth="1"/>
    <col min="13053" max="13290" width="9.140625" style="6"/>
    <col min="13291" max="13291" width="1.42578125" style="6" customWidth="1"/>
    <col min="13292" max="13292" width="59.5703125" style="6" customWidth="1"/>
    <col min="13293" max="13293" width="9.140625" style="6" customWidth="1"/>
    <col min="13294" max="13295" width="3.85546875" style="6" customWidth="1"/>
    <col min="13296" max="13296" width="10.5703125" style="6" customWidth="1"/>
    <col min="13297" max="13297" width="3.85546875" style="6" customWidth="1"/>
    <col min="13298" max="13300" width="14.42578125" style="6" customWidth="1"/>
    <col min="13301" max="13301" width="4.140625" style="6" customWidth="1"/>
    <col min="13302" max="13302" width="15" style="6" customWidth="1"/>
    <col min="13303" max="13304" width="9.140625" style="6" customWidth="1"/>
    <col min="13305" max="13305" width="11.5703125" style="6" customWidth="1"/>
    <col min="13306" max="13306" width="18.140625" style="6" customWidth="1"/>
    <col min="13307" max="13307" width="13.140625" style="6" customWidth="1"/>
    <col min="13308" max="13308" width="12.28515625" style="6" customWidth="1"/>
    <col min="13309" max="13546" width="9.140625" style="6"/>
    <col min="13547" max="13547" width="1.42578125" style="6" customWidth="1"/>
    <col min="13548" max="13548" width="59.5703125" style="6" customWidth="1"/>
    <col min="13549" max="13549" width="9.140625" style="6" customWidth="1"/>
    <col min="13550" max="13551" width="3.85546875" style="6" customWidth="1"/>
    <col min="13552" max="13552" width="10.5703125" style="6" customWidth="1"/>
    <col min="13553" max="13553" width="3.85546875" style="6" customWidth="1"/>
    <col min="13554" max="13556" width="14.42578125" style="6" customWidth="1"/>
    <col min="13557" max="13557" width="4.140625" style="6" customWidth="1"/>
    <col min="13558" max="13558" width="15" style="6" customWidth="1"/>
    <col min="13559" max="13560" width="9.140625" style="6" customWidth="1"/>
    <col min="13561" max="13561" width="11.5703125" style="6" customWidth="1"/>
    <col min="13562" max="13562" width="18.140625" style="6" customWidth="1"/>
    <col min="13563" max="13563" width="13.140625" style="6" customWidth="1"/>
    <col min="13564" max="13564" width="12.28515625" style="6" customWidth="1"/>
    <col min="13565" max="13802" width="9.140625" style="6"/>
    <col min="13803" max="13803" width="1.42578125" style="6" customWidth="1"/>
    <col min="13804" max="13804" width="59.5703125" style="6" customWidth="1"/>
    <col min="13805" max="13805" width="9.140625" style="6" customWidth="1"/>
    <col min="13806" max="13807" width="3.85546875" style="6" customWidth="1"/>
    <col min="13808" max="13808" width="10.5703125" style="6" customWidth="1"/>
    <col min="13809" max="13809" width="3.85546875" style="6" customWidth="1"/>
    <col min="13810" max="13812" width="14.42578125" style="6" customWidth="1"/>
    <col min="13813" max="13813" width="4.140625" style="6" customWidth="1"/>
    <col min="13814" max="13814" width="15" style="6" customWidth="1"/>
    <col min="13815" max="13816" width="9.140625" style="6" customWidth="1"/>
    <col min="13817" max="13817" width="11.5703125" style="6" customWidth="1"/>
    <col min="13818" max="13818" width="18.140625" style="6" customWidth="1"/>
    <col min="13819" max="13819" width="13.140625" style="6" customWidth="1"/>
    <col min="13820" max="13820" width="12.28515625" style="6" customWidth="1"/>
    <col min="13821" max="14058" width="9.140625" style="6"/>
    <col min="14059" max="14059" width="1.42578125" style="6" customWidth="1"/>
    <col min="14060" max="14060" width="59.5703125" style="6" customWidth="1"/>
    <col min="14061" max="14061" width="9.140625" style="6" customWidth="1"/>
    <col min="14062" max="14063" width="3.85546875" style="6" customWidth="1"/>
    <col min="14064" max="14064" width="10.5703125" style="6" customWidth="1"/>
    <col min="14065" max="14065" width="3.85546875" style="6" customWidth="1"/>
    <col min="14066" max="14068" width="14.42578125" style="6" customWidth="1"/>
    <col min="14069" max="14069" width="4.140625" style="6" customWidth="1"/>
    <col min="14070" max="14070" width="15" style="6" customWidth="1"/>
    <col min="14071" max="14072" width="9.140625" style="6" customWidth="1"/>
    <col min="14073" max="14073" width="11.5703125" style="6" customWidth="1"/>
    <col min="14074" max="14074" width="18.140625" style="6" customWidth="1"/>
    <col min="14075" max="14075" width="13.140625" style="6" customWidth="1"/>
    <col min="14076" max="14076" width="12.28515625" style="6" customWidth="1"/>
    <col min="14077" max="14314" width="9.140625" style="6"/>
    <col min="14315" max="14315" width="1.42578125" style="6" customWidth="1"/>
    <col min="14316" max="14316" width="59.5703125" style="6" customWidth="1"/>
    <col min="14317" max="14317" width="9.140625" style="6" customWidth="1"/>
    <col min="14318" max="14319" width="3.85546875" style="6" customWidth="1"/>
    <col min="14320" max="14320" width="10.5703125" style="6" customWidth="1"/>
    <col min="14321" max="14321" width="3.85546875" style="6" customWidth="1"/>
    <col min="14322" max="14324" width="14.42578125" style="6" customWidth="1"/>
    <col min="14325" max="14325" width="4.140625" style="6" customWidth="1"/>
    <col min="14326" max="14326" width="15" style="6" customWidth="1"/>
    <col min="14327" max="14328" width="9.140625" style="6" customWidth="1"/>
    <col min="14329" max="14329" width="11.5703125" style="6" customWidth="1"/>
    <col min="14330" max="14330" width="18.140625" style="6" customWidth="1"/>
    <col min="14331" max="14331" width="13.140625" style="6" customWidth="1"/>
    <col min="14332" max="14332" width="12.28515625" style="6" customWidth="1"/>
    <col min="14333" max="14570" width="9.140625" style="6"/>
    <col min="14571" max="14571" width="1.42578125" style="6" customWidth="1"/>
    <col min="14572" max="14572" width="59.5703125" style="6" customWidth="1"/>
    <col min="14573" max="14573" width="9.140625" style="6" customWidth="1"/>
    <col min="14574" max="14575" width="3.85546875" style="6" customWidth="1"/>
    <col min="14576" max="14576" width="10.5703125" style="6" customWidth="1"/>
    <col min="14577" max="14577" width="3.85546875" style="6" customWidth="1"/>
    <col min="14578" max="14580" width="14.42578125" style="6" customWidth="1"/>
    <col min="14581" max="14581" width="4.140625" style="6" customWidth="1"/>
    <col min="14582" max="14582" width="15" style="6" customWidth="1"/>
    <col min="14583" max="14584" width="9.140625" style="6" customWidth="1"/>
    <col min="14585" max="14585" width="11.5703125" style="6" customWidth="1"/>
    <col min="14586" max="14586" width="18.140625" style="6" customWidth="1"/>
    <col min="14587" max="14587" width="13.140625" style="6" customWidth="1"/>
    <col min="14588" max="14588" width="12.28515625" style="6" customWidth="1"/>
    <col min="14589" max="14826" width="9.140625" style="6"/>
    <col min="14827" max="14827" width="1.42578125" style="6" customWidth="1"/>
    <col min="14828" max="14828" width="59.5703125" style="6" customWidth="1"/>
    <col min="14829" max="14829" width="9.140625" style="6" customWidth="1"/>
    <col min="14830" max="14831" width="3.85546875" style="6" customWidth="1"/>
    <col min="14832" max="14832" width="10.5703125" style="6" customWidth="1"/>
    <col min="14833" max="14833" width="3.85546875" style="6" customWidth="1"/>
    <col min="14834" max="14836" width="14.42578125" style="6" customWidth="1"/>
    <col min="14837" max="14837" width="4.140625" style="6" customWidth="1"/>
    <col min="14838" max="14838" width="15" style="6" customWidth="1"/>
    <col min="14839" max="14840" width="9.140625" style="6" customWidth="1"/>
    <col min="14841" max="14841" width="11.5703125" style="6" customWidth="1"/>
    <col min="14842" max="14842" width="18.140625" style="6" customWidth="1"/>
    <col min="14843" max="14843" width="13.140625" style="6" customWidth="1"/>
    <col min="14844" max="14844" width="12.28515625" style="6" customWidth="1"/>
    <col min="14845" max="15082" width="9.140625" style="6"/>
    <col min="15083" max="15083" width="1.42578125" style="6" customWidth="1"/>
    <col min="15084" max="15084" width="59.5703125" style="6" customWidth="1"/>
    <col min="15085" max="15085" width="9.140625" style="6" customWidth="1"/>
    <col min="15086" max="15087" width="3.85546875" style="6" customWidth="1"/>
    <col min="15088" max="15088" width="10.5703125" style="6" customWidth="1"/>
    <col min="15089" max="15089" width="3.85546875" style="6" customWidth="1"/>
    <col min="15090" max="15092" width="14.42578125" style="6" customWidth="1"/>
    <col min="15093" max="15093" width="4.140625" style="6" customWidth="1"/>
    <col min="15094" max="15094" width="15" style="6" customWidth="1"/>
    <col min="15095" max="15096" width="9.140625" style="6" customWidth="1"/>
    <col min="15097" max="15097" width="11.5703125" style="6" customWidth="1"/>
    <col min="15098" max="15098" width="18.140625" style="6" customWidth="1"/>
    <col min="15099" max="15099" width="13.140625" style="6" customWidth="1"/>
    <col min="15100" max="15100" width="12.28515625" style="6" customWidth="1"/>
    <col min="15101" max="15338" width="9.140625" style="6"/>
    <col min="15339" max="15339" width="1.42578125" style="6" customWidth="1"/>
    <col min="15340" max="15340" width="59.5703125" style="6" customWidth="1"/>
    <col min="15341" max="15341" width="9.140625" style="6" customWidth="1"/>
    <col min="15342" max="15343" width="3.85546875" style="6" customWidth="1"/>
    <col min="15344" max="15344" width="10.5703125" style="6" customWidth="1"/>
    <col min="15345" max="15345" width="3.85546875" style="6" customWidth="1"/>
    <col min="15346" max="15348" width="14.42578125" style="6" customWidth="1"/>
    <col min="15349" max="15349" width="4.140625" style="6" customWidth="1"/>
    <col min="15350" max="15350" width="15" style="6" customWidth="1"/>
    <col min="15351" max="15352" width="9.140625" style="6" customWidth="1"/>
    <col min="15353" max="15353" width="11.5703125" style="6" customWidth="1"/>
    <col min="15354" max="15354" width="18.140625" style="6" customWidth="1"/>
    <col min="15355" max="15355" width="13.140625" style="6" customWidth="1"/>
    <col min="15356" max="15356" width="12.28515625" style="6" customWidth="1"/>
    <col min="15357" max="15594" width="9.140625" style="6"/>
    <col min="15595" max="15595" width="1.42578125" style="6" customWidth="1"/>
    <col min="15596" max="15596" width="59.5703125" style="6" customWidth="1"/>
    <col min="15597" max="15597" width="9.140625" style="6" customWidth="1"/>
    <col min="15598" max="15599" width="3.85546875" style="6" customWidth="1"/>
    <col min="15600" max="15600" width="10.5703125" style="6" customWidth="1"/>
    <col min="15601" max="15601" width="3.85546875" style="6" customWidth="1"/>
    <col min="15602" max="15604" width="14.42578125" style="6" customWidth="1"/>
    <col min="15605" max="15605" width="4.140625" style="6" customWidth="1"/>
    <col min="15606" max="15606" width="15" style="6" customWidth="1"/>
    <col min="15607" max="15608" width="9.140625" style="6" customWidth="1"/>
    <col min="15609" max="15609" width="11.5703125" style="6" customWidth="1"/>
    <col min="15610" max="15610" width="18.140625" style="6" customWidth="1"/>
    <col min="15611" max="15611" width="13.140625" style="6" customWidth="1"/>
    <col min="15612" max="15612" width="12.28515625" style="6" customWidth="1"/>
    <col min="15613" max="15850" width="9.140625" style="6"/>
    <col min="15851" max="15851" width="1.42578125" style="6" customWidth="1"/>
    <col min="15852" max="15852" width="59.5703125" style="6" customWidth="1"/>
    <col min="15853" max="15853" width="9.140625" style="6" customWidth="1"/>
    <col min="15854" max="15855" width="3.85546875" style="6" customWidth="1"/>
    <col min="15856" max="15856" width="10.5703125" style="6" customWidth="1"/>
    <col min="15857" max="15857" width="3.85546875" style="6" customWidth="1"/>
    <col min="15858" max="15860" width="14.42578125" style="6" customWidth="1"/>
    <col min="15861" max="15861" width="4.140625" style="6" customWidth="1"/>
    <col min="15862" max="15862" width="15" style="6" customWidth="1"/>
    <col min="15863" max="15864" width="9.140625" style="6" customWidth="1"/>
    <col min="15865" max="15865" width="11.5703125" style="6" customWidth="1"/>
    <col min="15866" max="15866" width="18.140625" style="6" customWidth="1"/>
    <col min="15867" max="15867" width="13.140625" style="6" customWidth="1"/>
    <col min="15868" max="15868" width="12.28515625" style="6" customWidth="1"/>
    <col min="15869" max="16106" width="9.140625" style="6"/>
    <col min="16107" max="16107" width="1.42578125" style="6" customWidth="1"/>
    <col min="16108" max="16108" width="59.5703125" style="6" customWidth="1"/>
    <col min="16109" max="16109" width="9.140625" style="6" customWidth="1"/>
    <col min="16110" max="16111" width="3.85546875" style="6" customWidth="1"/>
    <col min="16112" max="16112" width="10.5703125" style="6" customWidth="1"/>
    <col min="16113" max="16113" width="3.85546875" style="6" customWidth="1"/>
    <col min="16114" max="16116" width="14.42578125" style="6" customWidth="1"/>
    <col min="16117" max="16117" width="4.140625" style="6" customWidth="1"/>
    <col min="16118" max="16118" width="15" style="6" customWidth="1"/>
    <col min="16119" max="16120" width="9.140625" style="6" customWidth="1"/>
    <col min="16121" max="16121" width="11.5703125" style="6" customWidth="1"/>
    <col min="16122" max="16122" width="18.140625" style="6" customWidth="1"/>
    <col min="16123" max="16123" width="13.140625" style="6" customWidth="1"/>
    <col min="16124" max="16124" width="12.28515625" style="6" customWidth="1"/>
    <col min="16125" max="16384" width="9.140625" style="6"/>
  </cols>
  <sheetData>
    <row r="1" spans="1:18" hidden="1" x14ac:dyDescent="0.25">
      <c r="E1" s="599" t="s">
        <v>551</v>
      </c>
      <c r="F1" s="599"/>
      <c r="G1" s="599"/>
      <c r="H1" s="599"/>
      <c r="I1" s="599"/>
      <c r="J1" s="599"/>
      <c r="K1" s="599"/>
      <c r="L1" s="599"/>
    </row>
    <row r="2" spans="1:18" ht="39" hidden="1" customHeight="1" x14ac:dyDescent="0.25">
      <c r="E2" s="598" t="s">
        <v>792</v>
      </c>
      <c r="F2" s="598"/>
      <c r="G2" s="598"/>
      <c r="H2" s="598"/>
      <c r="I2" s="598"/>
      <c r="J2" s="598"/>
      <c r="K2" s="598"/>
      <c r="L2" s="598"/>
      <c r="M2" s="598"/>
      <c r="N2" s="598"/>
      <c r="O2" s="598"/>
      <c r="P2" s="598"/>
      <c r="Q2" s="598"/>
    </row>
    <row r="3" spans="1:18" s="506" customFormat="1" ht="14.25" customHeight="1" x14ac:dyDescent="0.2">
      <c r="D3" s="507"/>
      <c r="E3" s="594" t="s">
        <v>715</v>
      </c>
      <c r="F3" s="594"/>
      <c r="G3" s="594"/>
      <c r="H3" s="594"/>
      <c r="I3" s="594"/>
      <c r="J3" s="594"/>
      <c r="K3" s="594"/>
      <c r="L3" s="594"/>
      <c r="M3" s="594"/>
      <c r="N3" s="594"/>
      <c r="O3" s="594"/>
      <c r="P3" s="501"/>
      <c r="Q3" s="501"/>
      <c r="R3" s="501"/>
    </row>
    <row r="4" spans="1:18" s="118" customFormat="1" ht="52.5" customHeight="1" x14ac:dyDescent="0.25">
      <c r="B4" s="199"/>
      <c r="C4" s="199"/>
      <c r="D4" s="218"/>
      <c r="E4" s="598" t="s">
        <v>592</v>
      </c>
      <c r="F4" s="598"/>
      <c r="G4" s="598"/>
      <c r="H4" s="598"/>
      <c r="I4" s="598"/>
      <c r="J4" s="598"/>
      <c r="K4" s="598"/>
      <c r="L4" s="598"/>
      <c r="M4" s="598"/>
      <c r="N4" s="598"/>
      <c r="O4" s="598"/>
      <c r="P4" s="598"/>
      <c r="Q4" s="598"/>
      <c r="R4" s="225"/>
    </row>
    <row r="5" spans="1:18" s="118" customFormat="1" ht="43.5" customHeight="1" x14ac:dyDescent="0.25">
      <c r="A5" s="597" t="s">
        <v>843</v>
      </c>
      <c r="B5" s="597"/>
      <c r="C5" s="597"/>
      <c r="D5" s="597"/>
      <c r="E5" s="597"/>
      <c r="F5" s="597"/>
      <c r="G5" s="597"/>
      <c r="H5" s="597"/>
      <c r="I5" s="597"/>
      <c r="J5" s="597"/>
      <c r="K5" s="597"/>
      <c r="L5" s="597"/>
      <c r="M5" s="597"/>
      <c r="N5" s="597"/>
      <c r="O5" s="597"/>
      <c r="P5" s="597"/>
      <c r="Q5" s="597"/>
      <c r="R5" s="322"/>
    </row>
    <row r="6" spans="1:18" x14ac:dyDescent="0.25">
      <c r="A6" s="4"/>
      <c r="B6" s="4"/>
      <c r="C6" s="4"/>
      <c r="D6" s="4"/>
      <c r="E6" s="4"/>
      <c r="F6" s="502"/>
      <c r="G6" s="603" t="s">
        <v>662</v>
      </c>
      <c r="H6" s="603"/>
      <c r="I6" s="502"/>
      <c r="J6" s="4"/>
      <c r="K6" s="98"/>
    </row>
    <row r="7" spans="1:18" s="119" customFormat="1" ht="24.75" customHeight="1" x14ac:dyDescent="0.25">
      <c r="A7" s="585" t="s">
        <v>11</v>
      </c>
      <c r="B7" s="585"/>
      <c r="C7" s="493"/>
      <c r="D7" s="493" t="s">
        <v>716</v>
      </c>
      <c r="E7" s="493" t="s">
        <v>717</v>
      </c>
      <c r="F7" s="493" t="s">
        <v>331</v>
      </c>
      <c r="G7" s="244" t="s">
        <v>12</v>
      </c>
      <c r="H7" s="244" t="s">
        <v>13</v>
      </c>
      <c r="I7" s="114" t="s">
        <v>332</v>
      </c>
      <c r="J7" s="114" t="s">
        <v>15</v>
      </c>
      <c r="K7" s="493" t="s">
        <v>547</v>
      </c>
      <c r="L7" s="289">
        <v>2016</v>
      </c>
      <c r="M7" s="289" t="s">
        <v>826</v>
      </c>
      <c r="N7" s="289" t="s">
        <v>841</v>
      </c>
      <c r="O7" s="289">
        <v>2017</v>
      </c>
      <c r="P7" s="289" t="s">
        <v>826</v>
      </c>
      <c r="Q7" s="289" t="s">
        <v>842</v>
      </c>
    </row>
    <row r="8" spans="1:18" ht="26.25" customHeight="1" x14ac:dyDescent="0.25">
      <c r="A8" s="593" t="s">
        <v>670</v>
      </c>
      <c r="B8" s="593"/>
      <c r="C8" s="499"/>
      <c r="D8" s="499">
        <v>51</v>
      </c>
      <c r="E8" s="499"/>
      <c r="F8" s="499"/>
      <c r="G8" s="7"/>
      <c r="H8" s="7"/>
      <c r="I8" s="7"/>
      <c r="J8" s="7"/>
      <c r="K8" s="121">
        <f>K9+K82+K87+K110+K115+K123+K136+K141</f>
        <v>64055337</v>
      </c>
      <c r="L8" s="121">
        <f>L9+L82+L87+L110+L115+L123+L136+L141</f>
        <v>46916560</v>
      </c>
      <c r="M8" s="121">
        <f t="shared" ref="M8:N8" si="0">M9+M82+M87+M110+M115+M123+M136+M141</f>
        <v>-4321000</v>
      </c>
      <c r="N8" s="121">
        <f t="shared" si="0"/>
        <v>42595560</v>
      </c>
      <c r="O8" s="121">
        <f t="shared" ref="O8" si="1">O9+O82+O87+O110+O115+O123+O136+O141</f>
        <v>45777580</v>
      </c>
      <c r="P8" s="121">
        <f t="shared" ref="P8" si="2">P9+P82+P87+P110+P115+P123+P136+P141</f>
        <v>-4269500</v>
      </c>
      <c r="Q8" s="121">
        <f t="shared" ref="Q8" si="3">Q9+Q82+Q87+Q110+Q115+Q123+Q136+Q141</f>
        <v>41508080</v>
      </c>
    </row>
    <row r="9" spans="1:18" x14ac:dyDescent="0.25">
      <c r="A9" s="584" t="s">
        <v>16</v>
      </c>
      <c r="B9" s="584"/>
      <c r="C9" s="99"/>
      <c r="D9" s="99">
        <v>51</v>
      </c>
      <c r="E9" s="99">
        <v>0</v>
      </c>
      <c r="F9" s="99">
        <v>851</v>
      </c>
      <c r="G9" s="12"/>
      <c r="H9" s="12"/>
      <c r="I9" s="1"/>
      <c r="J9" s="1"/>
      <c r="K9" s="43">
        <f>K10+K13+K22+K25+K30+K35+K38+K41+K44+K49+K54+K57+K60+K65+K68+K73+K76+K79</f>
        <v>37033462</v>
      </c>
      <c r="L9" s="43">
        <f>L10+L13+L22+L25+L30+L35+L38+L41+L44+L49+L54+L57+L60+L65+L68+L73+L76+L79</f>
        <v>32176960</v>
      </c>
      <c r="M9" s="43">
        <f t="shared" ref="M9" si="4">M10+M13+M22+M25+M30+M35+M38+M41+M44+M49+M54+M57+M60+M65+M68+M73+M76+M79</f>
        <v>-4321000</v>
      </c>
      <c r="N9" s="43">
        <f>N10+N13+N22+N25+N30+N35+N38+N41+N44+N49+N54+N57+N60+N65+N68+N73+N76+N79</f>
        <v>27855960</v>
      </c>
      <c r="O9" s="43">
        <f t="shared" ref="O9" si="5">O10+O13+O22+O25+O30+O35+O38+O41+O44+O49+O54+O57+O60+O65+O68+O73+O76+O79</f>
        <v>31037980</v>
      </c>
      <c r="P9" s="43">
        <f t="shared" ref="P9" si="6">P10+P13+P22+P25+P30+P35+P38+P41+P44+P49+P54+P57+P60+P65+P68+P73+P76+P79</f>
        <v>-4269500</v>
      </c>
      <c r="Q9" s="43">
        <f t="shared" ref="Q9" si="7">Q10+Q13+Q22+Q25+Q30+Q35+Q38+Q41+Q44+Q49+Q54+Q57+Q60+Q65+Q68+Q73+Q76+Q79</f>
        <v>26768480</v>
      </c>
    </row>
    <row r="10" spans="1:18" ht="27" customHeight="1" x14ac:dyDescent="0.25">
      <c r="A10" s="583" t="s">
        <v>20</v>
      </c>
      <c r="B10" s="583"/>
      <c r="C10" s="492"/>
      <c r="D10" s="289">
        <v>51</v>
      </c>
      <c r="E10" s="289">
        <v>0</v>
      </c>
      <c r="F10" s="289">
        <v>851</v>
      </c>
      <c r="G10" s="1" t="s">
        <v>18</v>
      </c>
      <c r="H10" s="1" t="s">
        <v>7</v>
      </c>
      <c r="I10" s="1" t="s">
        <v>333</v>
      </c>
      <c r="J10" s="1"/>
      <c r="K10" s="2">
        <f t="shared" ref="K10:O11" si="8">K11</f>
        <v>946200</v>
      </c>
      <c r="L10" s="2">
        <f t="shared" si="8"/>
        <v>946200</v>
      </c>
      <c r="M10" s="2"/>
      <c r="N10" s="2">
        <f t="shared" ref="N10:N55" si="9">L10+M10</f>
        <v>946200</v>
      </c>
      <c r="O10" s="2">
        <f t="shared" si="8"/>
        <v>946200</v>
      </c>
      <c r="P10" s="17"/>
      <c r="Q10" s="2">
        <f t="shared" ref="Q10:Q48" si="10">O10+P10</f>
        <v>946200</v>
      </c>
    </row>
    <row r="11" spans="1:18" ht="38.25" customHeight="1" x14ac:dyDescent="0.25">
      <c r="A11" s="492"/>
      <c r="B11" s="497" t="s">
        <v>22</v>
      </c>
      <c r="C11" s="492"/>
      <c r="D11" s="289">
        <v>51</v>
      </c>
      <c r="E11" s="289">
        <v>0</v>
      </c>
      <c r="F11" s="289">
        <v>851</v>
      </c>
      <c r="G11" s="1" t="s">
        <v>23</v>
      </c>
      <c r="H11" s="1" t="s">
        <v>7</v>
      </c>
      <c r="I11" s="1" t="s">
        <v>333</v>
      </c>
      <c r="J11" s="1" t="s">
        <v>24</v>
      </c>
      <c r="K11" s="2">
        <f t="shared" si="8"/>
        <v>946200</v>
      </c>
      <c r="L11" s="2">
        <f t="shared" si="8"/>
        <v>946200</v>
      </c>
      <c r="M11" s="2"/>
      <c r="N11" s="2">
        <f t="shared" si="9"/>
        <v>946200</v>
      </c>
      <c r="O11" s="2">
        <f t="shared" si="8"/>
        <v>946200</v>
      </c>
      <c r="P11" s="17"/>
      <c r="Q11" s="2">
        <f t="shared" si="10"/>
        <v>946200</v>
      </c>
    </row>
    <row r="12" spans="1:18" ht="16.5" customHeight="1" x14ac:dyDescent="0.25">
      <c r="A12" s="17"/>
      <c r="B12" s="497" t="s">
        <v>25</v>
      </c>
      <c r="C12" s="497"/>
      <c r="D12" s="289">
        <v>51</v>
      </c>
      <c r="E12" s="289">
        <v>0</v>
      </c>
      <c r="F12" s="289">
        <v>851</v>
      </c>
      <c r="G12" s="1" t="s">
        <v>18</v>
      </c>
      <c r="H12" s="1" t="s">
        <v>7</v>
      </c>
      <c r="I12" s="1" t="s">
        <v>333</v>
      </c>
      <c r="J12" s="1" t="s">
        <v>26</v>
      </c>
      <c r="K12" s="2">
        <f>'6 Вед15'!J13</f>
        <v>946200</v>
      </c>
      <c r="L12" s="2">
        <v>946200</v>
      </c>
      <c r="M12" s="2"/>
      <c r="N12" s="2">
        <f t="shared" si="9"/>
        <v>946200</v>
      </c>
      <c r="O12" s="2">
        <v>946200</v>
      </c>
      <c r="P12" s="17"/>
      <c r="Q12" s="2">
        <f t="shared" si="10"/>
        <v>946200</v>
      </c>
    </row>
    <row r="13" spans="1:18" ht="27" customHeight="1" x14ac:dyDescent="0.25">
      <c r="A13" s="583" t="s">
        <v>27</v>
      </c>
      <c r="B13" s="583"/>
      <c r="C13" s="289"/>
      <c r="D13" s="289">
        <v>51</v>
      </c>
      <c r="E13" s="289">
        <v>0</v>
      </c>
      <c r="F13" s="289">
        <v>851</v>
      </c>
      <c r="G13" s="1" t="s">
        <v>23</v>
      </c>
      <c r="H13" s="1" t="s">
        <v>7</v>
      </c>
      <c r="I13" s="1" t="s">
        <v>562</v>
      </c>
      <c r="J13" s="1"/>
      <c r="K13" s="2">
        <f t="shared" ref="K13:O13" si="11">K14+K16+K18</f>
        <v>16387680</v>
      </c>
      <c r="L13" s="2">
        <f>L14+L16+L18</f>
        <v>16387378</v>
      </c>
      <c r="M13" s="2">
        <f t="shared" ref="M13:N13" si="12">M14+M16+M18</f>
        <v>0</v>
      </c>
      <c r="N13" s="2">
        <f t="shared" si="12"/>
        <v>16387378</v>
      </c>
      <c r="O13" s="2">
        <f t="shared" si="11"/>
        <v>16387378</v>
      </c>
      <c r="P13" s="17"/>
      <c r="Q13" s="2">
        <f t="shared" si="10"/>
        <v>16387378</v>
      </c>
    </row>
    <row r="14" spans="1:18" ht="37.5" customHeight="1" x14ac:dyDescent="0.25">
      <c r="A14" s="17"/>
      <c r="B14" s="497" t="s">
        <v>22</v>
      </c>
      <c r="C14" s="289"/>
      <c r="D14" s="289">
        <v>51</v>
      </c>
      <c r="E14" s="289">
        <v>0</v>
      </c>
      <c r="F14" s="289">
        <v>851</v>
      </c>
      <c r="G14" s="1" t="s">
        <v>18</v>
      </c>
      <c r="H14" s="1" t="s">
        <v>7</v>
      </c>
      <c r="I14" s="1" t="s">
        <v>562</v>
      </c>
      <c r="J14" s="1" t="s">
        <v>24</v>
      </c>
      <c r="K14" s="2">
        <f t="shared" ref="K14:O14" si="13">K15</f>
        <v>11544100</v>
      </c>
      <c r="L14" s="2">
        <f t="shared" si="13"/>
        <v>11544100</v>
      </c>
      <c r="M14" s="2"/>
      <c r="N14" s="2">
        <f t="shared" si="9"/>
        <v>11544100</v>
      </c>
      <c r="O14" s="2">
        <f t="shared" si="13"/>
        <v>11544100</v>
      </c>
      <c r="P14" s="17"/>
      <c r="Q14" s="2">
        <f t="shared" si="10"/>
        <v>11544100</v>
      </c>
    </row>
    <row r="15" spans="1:18" ht="15" customHeight="1" x14ac:dyDescent="0.25">
      <c r="A15" s="17"/>
      <c r="B15" s="497" t="s">
        <v>25</v>
      </c>
      <c r="C15" s="289"/>
      <c r="D15" s="289">
        <v>51</v>
      </c>
      <c r="E15" s="289">
        <v>0</v>
      </c>
      <c r="F15" s="289">
        <v>851</v>
      </c>
      <c r="G15" s="1" t="s">
        <v>18</v>
      </c>
      <c r="H15" s="1" t="s">
        <v>7</v>
      </c>
      <c r="I15" s="1" t="s">
        <v>562</v>
      </c>
      <c r="J15" s="1" t="s">
        <v>26</v>
      </c>
      <c r="K15" s="2">
        <f>'6 Вед15'!J16</f>
        <v>11544100</v>
      </c>
      <c r="L15" s="2">
        <v>11544100</v>
      </c>
      <c r="M15" s="2"/>
      <c r="N15" s="2">
        <f t="shared" si="9"/>
        <v>11544100</v>
      </c>
      <c r="O15" s="2">
        <v>11544100</v>
      </c>
      <c r="P15" s="17"/>
      <c r="Q15" s="2">
        <f t="shared" si="10"/>
        <v>11544100</v>
      </c>
    </row>
    <row r="16" spans="1:18" ht="15" customHeight="1" x14ac:dyDescent="0.25">
      <c r="A16" s="17"/>
      <c r="B16" s="492" t="s">
        <v>28</v>
      </c>
      <c r="C16" s="289"/>
      <c r="D16" s="289">
        <v>51</v>
      </c>
      <c r="E16" s="289">
        <v>0</v>
      </c>
      <c r="F16" s="289">
        <v>851</v>
      </c>
      <c r="G16" s="1" t="s">
        <v>18</v>
      </c>
      <c r="H16" s="1" t="s">
        <v>7</v>
      </c>
      <c r="I16" s="1" t="s">
        <v>562</v>
      </c>
      <c r="J16" s="1" t="s">
        <v>29</v>
      </c>
      <c r="K16" s="2">
        <f>'6 Вед15'!J17</f>
        <v>3777580</v>
      </c>
      <c r="L16" s="2">
        <f>L17</f>
        <v>3777280</v>
      </c>
      <c r="M16" s="2"/>
      <c r="N16" s="2">
        <f t="shared" si="9"/>
        <v>3777280</v>
      </c>
      <c r="O16" s="2">
        <f>O17</f>
        <v>3777280</v>
      </c>
      <c r="P16" s="2"/>
      <c r="Q16" s="2">
        <f t="shared" ref="Q16" si="14">Q17</f>
        <v>3777280</v>
      </c>
    </row>
    <row r="17" spans="1:17" ht="25.5" customHeight="1" x14ac:dyDescent="0.25">
      <c r="A17" s="17"/>
      <c r="B17" s="492" t="s">
        <v>30</v>
      </c>
      <c r="C17" s="289"/>
      <c r="D17" s="289">
        <v>51</v>
      </c>
      <c r="E17" s="289">
        <v>0</v>
      </c>
      <c r="F17" s="289">
        <v>851</v>
      </c>
      <c r="G17" s="1" t="s">
        <v>18</v>
      </c>
      <c r="H17" s="1" t="s">
        <v>7</v>
      </c>
      <c r="I17" s="1" t="s">
        <v>562</v>
      </c>
      <c r="J17" s="1" t="s">
        <v>31</v>
      </c>
      <c r="K17" s="2">
        <f>'6 Вед15'!J18</f>
        <v>3777580</v>
      </c>
      <c r="L17" s="2">
        <v>3777280</v>
      </c>
      <c r="M17" s="2"/>
      <c r="N17" s="2">
        <f t="shared" si="9"/>
        <v>3777280</v>
      </c>
      <c r="O17" s="2">
        <v>3777280</v>
      </c>
      <c r="P17" s="17"/>
      <c r="Q17" s="2">
        <f t="shared" si="10"/>
        <v>3777280</v>
      </c>
    </row>
    <row r="18" spans="1:17" ht="14.25" customHeight="1" x14ac:dyDescent="0.25">
      <c r="A18" s="17"/>
      <c r="B18" s="492" t="s">
        <v>32</v>
      </c>
      <c r="C18" s="289"/>
      <c r="D18" s="289">
        <v>51</v>
      </c>
      <c r="E18" s="289">
        <v>0</v>
      </c>
      <c r="F18" s="289">
        <v>851</v>
      </c>
      <c r="G18" s="1" t="s">
        <v>18</v>
      </c>
      <c r="H18" s="1" t="s">
        <v>7</v>
      </c>
      <c r="I18" s="1" t="s">
        <v>562</v>
      </c>
      <c r="J18" s="1" t="s">
        <v>33</v>
      </c>
      <c r="K18" s="2">
        <f>K19+K20+K21</f>
        <v>1066000</v>
      </c>
      <c r="L18" s="2">
        <f t="shared" ref="L18:O18" si="15">L19+L20+L21</f>
        <v>1065998</v>
      </c>
      <c r="M18" s="2"/>
      <c r="N18" s="2">
        <f t="shared" si="9"/>
        <v>1065998</v>
      </c>
      <c r="O18" s="2">
        <f t="shared" si="15"/>
        <v>1065998</v>
      </c>
      <c r="P18" s="17"/>
      <c r="Q18" s="2">
        <f t="shared" si="10"/>
        <v>1065998</v>
      </c>
    </row>
    <row r="19" spans="1:17" ht="14.25" customHeight="1" x14ac:dyDescent="0.25">
      <c r="A19" s="17"/>
      <c r="B19" s="492" t="s">
        <v>34</v>
      </c>
      <c r="C19" s="289"/>
      <c r="D19" s="289">
        <v>51</v>
      </c>
      <c r="E19" s="289">
        <v>0</v>
      </c>
      <c r="F19" s="289">
        <v>851</v>
      </c>
      <c r="G19" s="1" t="s">
        <v>18</v>
      </c>
      <c r="H19" s="1" t="s">
        <v>7</v>
      </c>
      <c r="I19" s="1" t="s">
        <v>562</v>
      </c>
      <c r="J19" s="1" t="s">
        <v>35</v>
      </c>
      <c r="K19" s="2">
        <f>'6 Вед15'!J20</f>
        <v>945200</v>
      </c>
      <c r="L19" s="2">
        <v>945198</v>
      </c>
      <c r="M19" s="2"/>
      <c r="N19" s="2">
        <f t="shared" si="9"/>
        <v>945198</v>
      </c>
      <c r="O19" s="2">
        <v>945198</v>
      </c>
      <c r="P19" s="17"/>
      <c r="Q19" s="2">
        <f t="shared" si="10"/>
        <v>945198</v>
      </c>
    </row>
    <row r="20" spans="1:17" ht="14.25" customHeight="1" x14ac:dyDescent="0.25">
      <c r="A20" s="17"/>
      <c r="B20" s="497" t="s">
        <v>596</v>
      </c>
      <c r="C20" s="289"/>
      <c r="D20" s="289">
        <v>51</v>
      </c>
      <c r="E20" s="289">
        <v>0</v>
      </c>
      <c r="F20" s="289">
        <v>851</v>
      </c>
      <c r="G20" s="1" t="s">
        <v>23</v>
      </c>
      <c r="H20" s="1" t="s">
        <v>7</v>
      </c>
      <c r="I20" s="1" t="s">
        <v>562</v>
      </c>
      <c r="J20" s="1" t="s">
        <v>36</v>
      </c>
      <c r="K20" s="2">
        <f>'6 Вед15'!J21</f>
        <v>70800</v>
      </c>
      <c r="L20" s="2">
        <v>70800</v>
      </c>
      <c r="M20" s="2"/>
      <c r="N20" s="2">
        <f t="shared" si="9"/>
        <v>70800</v>
      </c>
      <c r="O20" s="2">
        <v>70800</v>
      </c>
      <c r="P20" s="17"/>
      <c r="Q20" s="2">
        <f t="shared" si="10"/>
        <v>70800</v>
      </c>
    </row>
    <row r="21" spans="1:17" ht="14.25" customHeight="1" x14ac:dyDescent="0.25">
      <c r="A21" s="17"/>
      <c r="B21" s="492" t="s">
        <v>595</v>
      </c>
      <c r="C21" s="289"/>
      <c r="D21" s="289">
        <v>51</v>
      </c>
      <c r="E21" s="289">
        <v>0</v>
      </c>
      <c r="F21" s="289">
        <v>851</v>
      </c>
      <c r="G21" s="1" t="s">
        <v>23</v>
      </c>
      <c r="H21" s="1" t="s">
        <v>7</v>
      </c>
      <c r="I21" s="1" t="s">
        <v>562</v>
      </c>
      <c r="J21" s="1" t="s">
        <v>594</v>
      </c>
      <c r="K21" s="2">
        <f>'6 Вед15'!J22</f>
        <v>50000</v>
      </c>
      <c r="L21" s="2">
        <v>50000</v>
      </c>
      <c r="M21" s="2"/>
      <c r="N21" s="2">
        <f t="shared" si="9"/>
        <v>50000</v>
      </c>
      <c r="O21" s="2">
        <v>50000</v>
      </c>
      <c r="P21" s="17"/>
      <c r="Q21" s="2">
        <f t="shared" si="10"/>
        <v>50000</v>
      </c>
    </row>
    <row r="22" spans="1:17" ht="37.5" customHeight="1" x14ac:dyDescent="0.25">
      <c r="A22" s="583" t="s">
        <v>612</v>
      </c>
      <c r="B22" s="583"/>
      <c r="C22" s="492"/>
      <c r="D22" s="289">
        <v>51</v>
      </c>
      <c r="E22" s="289">
        <v>0</v>
      </c>
      <c r="F22" s="289">
        <v>851</v>
      </c>
      <c r="G22" s="1" t="s">
        <v>18</v>
      </c>
      <c r="H22" s="1" t="s">
        <v>7</v>
      </c>
      <c r="I22" s="1" t="s">
        <v>617</v>
      </c>
      <c r="J22" s="1"/>
      <c r="K22" s="2">
        <f t="shared" ref="K22:O23" si="16">K23</f>
        <v>2500</v>
      </c>
      <c r="L22" s="2">
        <f t="shared" si="16"/>
        <v>0</v>
      </c>
      <c r="M22" s="2"/>
      <c r="N22" s="2">
        <f t="shared" si="9"/>
        <v>0</v>
      </c>
      <c r="O22" s="2">
        <f t="shared" si="16"/>
        <v>0</v>
      </c>
      <c r="P22" s="17"/>
      <c r="Q22" s="2">
        <f t="shared" si="10"/>
        <v>0</v>
      </c>
    </row>
    <row r="23" spans="1:17" ht="15" customHeight="1" x14ac:dyDescent="0.25">
      <c r="A23" s="17"/>
      <c r="B23" s="492" t="s">
        <v>28</v>
      </c>
      <c r="C23" s="497"/>
      <c r="D23" s="289">
        <v>51</v>
      </c>
      <c r="E23" s="289">
        <v>0</v>
      </c>
      <c r="F23" s="289">
        <v>851</v>
      </c>
      <c r="G23" s="1" t="s">
        <v>18</v>
      </c>
      <c r="H23" s="1" t="s">
        <v>7</v>
      </c>
      <c r="I23" s="1" t="s">
        <v>617</v>
      </c>
      <c r="J23" s="1" t="s">
        <v>29</v>
      </c>
      <c r="K23" s="2">
        <f t="shared" si="16"/>
        <v>2500</v>
      </c>
      <c r="L23" s="2">
        <f t="shared" si="16"/>
        <v>0</v>
      </c>
      <c r="M23" s="2"/>
      <c r="N23" s="2">
        <f t="shared" si="9"/>
        <v>0</v>
      </c>
      <c r="O23" s="2">
        <f t="shared" si="16"/>
        <v>0</v>
      </c>
      <c r="P23" s="17"/>
      <c r="Q23" s="2">
        <f t="shared" si="10"/>
        <v>0</v>
      </c>
    </row>
    <row r="24" spans="1:17" ht="24" customHeight="1" x14ac:dyDescent="0.25">
      <c r="A24" s="17"/>
      <c r="B24" s="492" t="s">
        <v>30</v>
      </c>
      <c r="C24" s="492"/>
      <c r="D24" s="289">
        <v>51</v>
      </c>
      <c r="E24" s="289">
        <v>0</v>
      </c>
      <c r="F24" s="289">
        <v>851</v>
      </c>
      <c r="G24" s="1" t="s">
        <v>18</v>
      </c>
      <c r="H24" s="1" t="s">
        <v>7</v>
      </c>
      <c r="I24" s="1" t="s">
        <v>617</v>
      </c>
      <c r="J24" s="1" t="s">
        <v>31</v>
      </c>
      <c r="K24" s="2">
        <f>'6 Вед15'!J25</f>
        <v>2500</v>
      </c>
      <c r="L24" s="2"/>
      <c r="M24" s="2"/>
      <c r="N24" s="2">
        <f t="shared" si="9"/>
        <v>0</v>
      </c>
      <c r="O24" s="2"/>
      <c r="P24" s="17"/>
      <c r="Q24" s="2">
        <f t="shared" si="10"/>
        <v>0</v>
      </c>
    </row>
    <row r="25" spans="1:17" s="15" customFormat="1" ht="14.25" customHeight="1" x14ac:dyDescent="0.25">
      <c r="A25" s="583" t="s">
        <v>572</v>
      </c>
      <c r="B25" s="583"/>
      <c r="C25" s="495"/>
      <c r="D25" s="289">
        <v>51</v>
      </c>
      <c r="E25" s="289">
        <v>0</v>
      </c>
      <c r="F25" s="289">
        <v>851</v>
      </c>
      <c r="G25" s="1" t="s">
        <v>4</v>
      </c>
      <c r="H25" s="1" t="s">
        <v>58</v>
      </c>
      <c r="I25" s="1" t="s">
        <v>339</v>
      </c>
      <c r="J25" s="12"/>
      <c r="K25" s="2">
        <f>K26+K28</f>
        <v>1332400</v>
      </c>
      <c r="L25" s="2">
        <f t="shared" ref="L25:O25" si="17">L26+L28</f>
        <v>1332400</v>
      </c>
      <c r="M25" s="2"/>
      <c r="N25" s="2">
        <f t="shared" si="9"/>
        <v>1332400</v>
      </c>
      <c r="O25" s="2">
        <f t="shared" si="17"/>
        <v>1332400</v>
      </c>
      <c r="P25" s="500"/>
      <c r="Q25" s="2">
        <f t="shared" si="10"/>
        <v>1332400</v>
      </c>
    </row>
    <row r="26" spans="1:17" ht="38.25" customHeight="1" x14ac:dyDescent="0.25">
      <c r="A26" s="492"/>
      <c r="B26" s="497" t="s">
        <v>22</v>
      </c>
      <c r="C26" s="492"/>
      <c r="D26" s="289">
        <v>51</v>
      </c>
      <c r="E26" s="289">
        <v>0</v>
      </c>
      <c r="F26" s="289">
        <v>851</v>
      </c>
      <c r="G26" s="1" t="s">
        <v>4</v>
      </c>
      <c r="H26" s="20" t="s">
        <v>58</v>
      </c>
      <c r="I26" s="20" t="s">
        <v>339</v>
      </c>
      <c r="J26" s="1" t="s">
        <v>24</v>
      </c>
      <c r="K26" s="2">
        <f t="shared" ref="K26:O26" si="18">K27</f>
        <v>1246000</v>
      </c>
      <c r="L26" s="2">
        <f t="shared" si="18"/>
        <v>1246000</v>
      </c>
      <c r="M26" s="2"/>
      <c r="N26" s="2">
        <f t="shared" si="9"/>
        <v>1246000</v>
      </c>
      <c r="O26" s="2">
        <f t="shared" si="18"/>
        <v>1246000</v>
      </c>
      <c r="P26" s="17"/>
      <c r="Q26" s="2">
        <f t="shared" si="10"/>
        <v>1246000</v>
      </c>
    </row>
    <row r="27" spans="1:17" x14ac:dyDescent="0.25">
      <c r="A27" s="492"/>
      <c r="B27" s="492" t="s">
        <v>60</v>
      </c>
      <c r="C27" s="492"/>
      <c r="D27" s="289">
        <v>51</v>
      </c>
      <c r="E27" s="289">
        <v>0</v>
      </c>
      <c r="F27" s="289">
        <v>851</v>
      </c>
      <c r="G27" s="1" t="s">
        <v>4</v>
      </c>
      <c r="H27" s="20" t="s">
        <v>58</v>
      </c>
      <c r="I27" s="20" t="s">
        <v>339</v>
      </c>
      <c r="J27" s="1" t="s">
        <v>61</v>
      </c>
      <c r="K27" s="2">
        <f>'6 Вед15'!J68</f>
        <v>1246000</v>
      </c>
      <c r="L27" s="2">
        <v>1246000</v>
      </c>
      <c r="M27" s="2"/>
      <c r="N27" s="2">
        <f t="shared" si="9"/>
        <v>1246000</v>
      </c>
      <c r="O27" s="2">
        <v>1246000</v>
      </c>
      <c r="P27" s="17"/>
      <c r="Q27" s="2">
        <f t="shared" si="10"/>
        <v>1246000</v>
      </c>
    </row>
    <row r="28" spans="1:17" ht="16.5" customHeight="1" x14ac:dyDescent="0.25">
      <c r="A28" s="17"/>
      <c r="B28" s="492" t="s">
        <v>28</v>
      </c>
      <c r="C28" s="497"/>
      <c r="D28" s="289">
        <v>51</v>
      </c>
      <c r="E28" s="289">
        <v>0</v>
      </c>
      <c r="F28" s="289">
        <v>851</v>
      </c>
      <c r="G28" s="1" t="s">
        <v>4</v>
      </c>
      <c r="H28" s="20" t="s">
        <v>58</v>
      </c>
      <c r="I28" s="20" t="s">
        <v>339</v>
      </c>
      <c r="J28" s="1" t="s">
        <v>29</v>
      </c>
      <c r="K28" s="2">
        <f>'6 Вед15'!J69</f>
        <v>86400</v>
      </c>
      <c r="L28" s="2">
        <f>L29</f>
        <v>86400</v>
      </c>
      <c r="M28" s="2">
        <f t="shared" ref="M28:Q28" si="19">M29</f>
        <v>0</v>
      </c>
      <c r="N28" s="2">
        <f t="shared" si="19"/>
        <v>86400</v>
      </c>
      <c r="O28" s="2">
        <f t="shared" si="19"/>
        <v>86400</v>
      </c>
      <c r="P28" s="2">
        <f t="shared" si="19"/>
        <v>0</v>
      </c>
      <c r="Q28" s="2">
        <f t="shared" si="19"/>
        <v>86400</v>
      </c>
    </row>
    <row r="29" spans="1:17" ht="24" x14ac:dyDescent="0.25">
      <c r="A29" s="17"/>
      <c r="B29" s="492" t="s">
        <v>30</v>
      </c>
      <c r="C29" s="492"/>
      <c r="D29" s="289">
        <v>51</v>
      </c>
      <c r="E29" s="289">
        <v>0</v>
      </c>
      <c r="F29" s="289">
        <v>851</v>
      </c>
      <c r="G29" s="1" t="s">
        <v>4</v>
      </c>
      <c r="H29" s="20" t="s">
        <v>58</v>
      </c>
      <c r="I29" s="20" t="s">
        <v>339</v>
      </c>
      <c r="J29" s="1" t="s">
        <v>31</v>
      </c>
      <c r="K29" s="2">
        <f>'6 Вед15'!J70</f>
        <v>86400</v>
      </c>
      <c r="L29" s="2">
        <v>86400</v>
      </c>
      <c r="M29" s="2"/>
      <c r="N29" s="2">
        <f t="shared" si="9"/>
        <v>86400</v>
      </c>
      <c r="O29" s="2">
        <v>86400</v>
      </c>
      <c r="P29" s="17"/>
      <c r="Q29" s="2">
        <f t="shared" si="10"/>
        <v>86400</v>
      </c>
    </row>
    <row r="30" spans="1:17" ht="47.25" customHeight="1" x14ac:dyDescent="0.25">
      <c r="A30" s="583" t="s">
        <v>46</v>
      </c>
      <c r="B30" s="583"/>
      <c r="C30" s="289"/>
      <c r="D30" s="289">
        <v>51</v>
      </c>
      <c r="E30" s="289">
        <v>0</v>
      </c>
      <c r="F30" s="289">
        <v>851</v>
      </c>
      <c r="G30" s="1" t="s">
        <v>18</v>
      </c>
      <c r="H30" s="1" t="s">
        <v>45</v>
      </c>
      <c r="I30" s="1" t="s">
        <v>334</v>
      </c>
      <c r="J30" s="1"/>
      <c r="K30" s="2">
        <f t="shared" ref="K30:O30" si="20">K31+K33</f>
        <v>340700</v>
      </c>
      <c r="L30" s="2">
        <f t="shared" si="20"/>
        <v>340700</v>
      </c>
      <c r="M30" s="2"/>
      <c r="N30" s="2">
        <f t="shared" si="9"/>
        <v>340700</v>
      </c>
      <c r="O30" s="2">
        <f t="shared" si="20"/>
        <v>340700</v>
      </c>
      <c r="P30" s="17"/>
      <c r="Q30" s="2">
        <f t="shared" si="10"/>
        <v>340700</v>
      </c>
    </row>
    <row r="31" spans="1:17" ht="38.25" customHeight="1" x14ac:dyDescent="0.25">
      <c r="A31" s="17"/>
      <c r="B31" s="497" t="s">
        <v>22</v>
      </c>
      <c r="C31" s="289"/>
      <c r="D31" s="289">
        <v>51</v>
      </c>
      <c r="E31" s="289">
        <v>0</v>
      </c>
      <c r="F31" s="289">
        <v>851</v>
      </c>
      <c r="G31" s="1" t="s">
        <v>18</v>
      </c>
      <c r="H31" s="1" t="s">
        <v>45</v>
      </c>
      <c r="I31" s="1" t="s">
        <v>334</v>
      </c>
      <c r="J31" s="1" t="s">
        <v>24</v>
      </c>
      <c r="K31" s="2">
        <f t="shared" ref="K31:O31" si="21">K32</f>
        <v>216840</v>
      </c>
      <c r="L31" s="2">
        <f t="shared" si="21"/>
        <v>216840</v>
      </c>
      <c r="M31" s="2"/>
      <c r="N31" s="2">
        <f t="shared" si="9"/>
        <v>216840</v>
      </c>
      <c r="O31" s="2">
        <f t="shared" si="21"/>
        <v>216840</v>
      </c>
      <c r="P31" s="17"/>
      <c r="Q31" s="2">
        <f t="shared" si="10"/>
        <v>216840</v>
      </c>
    </row>
    <row r="32" spans="1:17" ht="15.75" customHeight="1" x14ac:dyDescent="0.25">
      <c r="A32" s="17"/>
      <c r="B32" s="497" t="s">
        <v>25</v>
      </c>
      <c r="C32" s="289"/>
      <c r="D32" s="289">
        <v>51</v>
      </c>
      <c r="E32" s="289">
        <v>0</v>
      </c>
      <c r="F32" s="289">
        <v>851</v>
      </c>
      <c r="G32" s="1" t="s">
        <v>18</v>
      </c>
      <c r="H32" s="1" t="s">
        <v>45</v>
      </c>
      <c r="I32" s="1" t="s">
        <v>334</v>
      </c>
      <c r="J32" s="1" t="s">
        <v>26</v>
      </c>
      <c r="K32" s="2">
        <f>'6 Вед15'!J37</f>
        <v>216840</v>
      </c>
      <c r="L32" s="2">
        <v>216840</v>
      </c>
      <c r="M32" s="2"/>
      <c r="N32" s="2">
        <f t="shared" si="9"/>
        <v>216840</v>
      </c>
      <c r="O32" s="2">
        <v>216840</v>
      </c>
      <c r="P32" s="17"/>
      <c r="Q32" s="2">
        <f t="shared" si="10"/>
        <v>216840</v>
      </c>
    </row>
    <row r="33" spans="1:17" ht="15.75" customHeight="1" x14ac:dyDescent="0.25">
      <c r="A33" s="17"/>
      <c r="B33" s="492" t="s">
        <v>28</v>
      </c>
      <c r="C33" s="289"/>
      <c r="D33" s="289">
        <v>51</v>
      </c>
      <c r="E33" s="289">
        <v>0</v>
      </c>
      <c r="F33" s="289">
        <v>851</v>
      </c>
      <c r="G33" s="1" t="s">
        <v>18</v>
      </c>
      <c r="H33" s="1" t="s">
        <v>45</v>
      </c>
      <c r="I33" s="1" t="s">
        <v>334</v>
      </c>
      <c r="J33" s="1" t="s">
        <v>29</v>
      </c>
      <c r="K33" s="2">
        <f>'6 Вед15'!J38</f>
        <v>123860</v>
      </c>
      <c r="L33" s="2">
        <f>L34</f>
        <v>123860</v>
      </c>
      <c r="M33" s="2">
        <f t="shared" ref="M33:P33" si="22">M34</f>
        <v>0</v>
      </c>
      <c r="N33" s="2">
        <f t="shared" si="22"/>
        <v>123860</v>
      </c>
      <c r="O33" s="2">
        <f t="shared" si="22"/>
        <v>123860</v>
      </c>
      <c r="P33" s="2">
        <f t="shared" si="22"/>
        <v>0</v>
      </c>
      <c r="Q33" s="2">
        <f t="shared" si="10"/>
        <v>123860</v>
      </c>
    </row>
    <row r="34" spans="1:17" ht="28.5" customHeight="1" x14ac:dyDescent="0.25">
      <c r="A34" s="17"/>
      <c r="B34" s="492" t="s">
        <v>30</v>
      </c>
      <c r="C34" s="289"/>
      <c r="D34" s="289">
        <v>51</v>
      </c>
      <c r="E34" s="289">
        <v>0</v>
      </c>
      <c r="F34" s="289">
        <v>851</v>
      </c>
      <c r="G34" s="1" t="s">
        <v>18</v>
      </c>
      <c r="H34" s="1" t="s">
        <v>45</v>
      </c>
      <c r="I34" s="1" t="s">
        <v>334</v>
      </c>
      <c r="J34" s="1" t="s">
        <v>31</v>
      </c>
      <c r="K34" s="2">
        <f>'6 Вед15'!J39</f>
        <v>123860</v>
      </c>
      <c r="L34" s="2">
        <v>123860</v>
      </c>
      <c r="M34" s="2"/>
      <c r="N34" s="2">
        <f t="shared" si="9"/>
        <v>123860</v>
      </c>
      <c r="O34" s="2">
        <v>123860</v>
      </c>
      <c r="P34" s="17"/>
      <c r="Q34" s="2">
        <f t="shared" si="10"/>
        <v>123860</v>
      </c>
    </row>
    <row r="35" spans="1:17" s="15" customFormat="1" ht="64.5" customHeight="1" x14ac:dyDescent="0.25">
      <c r="A35" s="583" t="s">
        <v>603</v>
      </c>
      <c r="B35" s="583"/>
      <c r="C35" s="495"/>
      <c r="D35" s="74">
        <v>51</v>
      </c>
      <c r="E35" s="74">
        <v>0</v>
      </c>
      <c r="F35" s="289">
        <v>851</v>
      </c>
      <c r="G35" s="1" t="s">
        <v>7</v>
      </c>
      <c r="H35" s="1" t="s">
        <v>64</v>
      </c>
      <c r="I35" s="1" t="s">
        <v>620</v>
      </c>
      <c r="J35" s="1"/>
      <c r="K35" s="2">
        <f>K36</f>
        <v>11140</v>
      </c>
      <c r="L35" s="2">
        <f t="shared" ref="L35:O36" si="23">L36</f>
        <v>11140</v>
      </c>
      <c r="M35" s="2"/>
      <c r="N35" s="2">
        <f t="shared" si="9"/>
        <v>11140</v>
      </c>
      <c r="O35" s="2">
        <f t="shared" si="23"/>
        <v>11140</v>
      </c>
      <c r="P35" s="500"/>
      <c r="Q35" s="2">
        <f t="shared" si="10"/>
        <v>11140</v>
      </c>
    </row>
    <row r="36" spans="1:17" s="15" customFormat="1" ht="12" customHeight="1" x14ac:dyDescent="0.25">
      <c r="A36" s="495"/>
      <c r="B36" s="492" t="s">
        <v>28</v>
      </c>
      <c r="C36" s="497"/>
      <c r="D36" s="74">
        <v>51</v>
      </c>
      <c r="E36" s="74">
        <v>0</v>
      </c>
      <c r="F36" s="289">
        <v>851</v>
      </c>
      <c r="G36" s="1" t="s">
        <v>7</v>
      </c>
      <c r="H36" s="1" t="s">
        <v>64</v>
      </c>
      <c r="I36" s="1" t="s">
        <v>620</v>
      </c>
      <c r="J36" s="1" t="s">
        <v>29</v>
      </c>
      <c r="K36" s="2">
        <f>K37</f>
        <v>11140</v>
      </c>
      <c r="L36" s="2">
        <f t="shared" si="23"/>
        <v>11140</v>
      </c>
      <c r="M36" s="2"/>
      <c r="N36" s="2">
        <f t="shared" si="9"/>
        <v>11140</v>
      </c>
      <c r="O36" s="2">
        <f t="shared" si="23"/>
        <v>11140</v>
      </c>
      <c r="P36" s="500"/>
      <c r="Q36" s="2">
        <f t="shared" si="10"/>
        <v>11140</v>
      </c>
    </row>
    <row r="37" spans="1:17" s="15" customFormat="1" ht="24" x14ac:dyDescent="0.25">
      <c r="A37" s="495"/>
      <c r="B37" s="492" t="s">
        <v>30</v>
      </c>
      <c r="C37" s="492"/>
      <c r="D37" s="74">
        <v>51</v>
      </c>
      <c r="E37" s="74">
        <v>0</v>
      </c>
      <c r="F37" s="289">
        <v>851</v>
      </c>
      <c r="G37" s="1" t="s">
        <v>7</v>
      </c>
      <c r="H37" s="1" t="s">
        <v>64</v>
      </c>
      <c r="I37" s="1" t="s">
        <v>620</v>
      </c>
      <c r="J37" s="1" t="s">
        <v>31</v>
      </c>
      <c r="K37" s="2">
        <f>'6 Вед15'!J78</f>
        <v>11140</v>
      </c>
      <c r="L37" s="2">
        <v>11140</v>
      </c>
      <c r="M37" s="2"/>
      <c r="N37" s="2">
        <f t="shared" si="9"/>
        <v>11140</v>
      </c>
      <c r="O37" s="2">
        <v>11140</v>
      </c>
      <c r="P37" s="500"/>
      <c r="Q37" s="2">
        <f t="shared" si="10"/>
        <v>11140</v>
      </c>
    </row>
    <row r="38" spans="1:17" ht="27" customHeight="1" x14ac:dyDescent="0.25">
      <c r="A38" s="583" t="s">
        <v>52</v>
      </c>
      <c r="B38" s="583"/>
      <c r="C38" s="492"/>
      <c r="D38" s="289">
        <v>51</v>
      </c>
      <c r="E38" s="289">
        <v>0</v>
      </c>
      <c r="F38" s="289">
        <v>851</v>
      </c>
      <c r="G38" s="1" t="s">
        <v>23</v>
      </c>
      <c r="H38" s="20" t="s">
        <v>45</v>
      </c>
      <c r="I38" s="20" t="s">
        <v>337</v>
      </c>
      <c r="J38" s="1"/>
      <c r="K38" s="2">
        <f t="shared" ref="K38:O39" si="24">K39</f>
        <v>450000</v>
      </c>
      <c r="L38" s="2">
        <f t="shared" si="24"/>
        <v>450000</v>
      </c>
      <c r="M38" s="2"/>
      <c r="N38" s="2">
        <f t="shared" si="9"/>
        <v>450000</v>
      </c>
      <c r="O38" s="2">
        <f t="shared" si="24"/>
        <v>450000</v>
      </c>
      <c r="P38" s="17"/>
      <c r="Q38" s="2">
        <f t="shared" si="10"/>
        <v>450000</v>
      </c>
    </row>
    <row r="39" spans="1:17" ht="18" customHeight="1" x14ac:dyDescent="0.25">
      <c r="A39" s="17"/>
      <c r="B39" s="492" t="s">
        <v>28</v>
      </c>
      <c r="C39" s="497"/>
      <c r="D39" s="289">
        <v>51</v>
      </c>
      <c r="E39" s="289">
        <v>0</v>
      </c>
      <c r="F39" s="289">
        <v>851</v>
      </c>
      <c r="G39" s="1" t="s">
        <v>18</v>
      </c>
      <c r="H39" s="1" t="s">
        <v>45</v>
      </c>
      <c r="I39" s="1" t="s">
        <v>337</v>
      </c>
      <c r="J39" s="1" t="s">
        <v>29</v>
      </c>
      <c r="K39" s="2">
        <f t="shared" si="24"/>
        <v>450000</v>
      </c>
      <c r="L39" s="2">
        <f t="shared" si="24"/>
        <v>450000</v>
      </c>
      <c r="M39" s="2"/>
      <c r="N39" s="2">
        <f t="shared" si="9"/>
        <v>450000</v>
      </c>
      <c r="O39" s="2">
        <f t="shared" si="24"/>
        <v>450000</v>
      </c>
      <c r="P39" s="17"/>
      <c r="Q39" s="2">
        <f t="shared" si="10"/>
        <v>450000</v>
      </c>
    </row>
    <row r="40" spans="1:17" ht="26.25" customHeight="1" x14ac:dyDescent="0.25">
      <c r="A40" s="17"/>
      <c r="B40" s="492" t="s">
        <v>30</v>
      </c>
      <c r="C40" s="492"/>
      <c r="D40" s="289">
        <v>51</v>
      </c>
      <c r="E40" s="289">
        <v>0</v>
      </c>
      <c r="F40" s="289">
        <v>851</v>
      </c>
      <c r="G40" s="1" t="s">
        <v>18</v>
      </c>
      <c r="H40" s="1" t="s">
        <v>45</v>
      </c>
      <c r="I40" s="1" t="s">
        <v>337</v>
      </c>
      <c r="J40" s="1" t="s">
        <v>31</v>
      </c>
      <c r="K40" s="2">
        <f>'6 Вед15'!J42</f>
        <v>450000</v>
      </c>
      <c r="L40" s="2">
        <v>450000</v>
      </c>
      <c r="M40" s="2"/>
      <c r="N40" s="2">
        <f t="shared" si="9"/>
        <v>450000</v>
      </c>
      <c r="O40" s="2">
        <v>450000</v>
      </c>
      <c r="P40" s="17"/>
      <c r="Q40" s="2">
        <f t="shared" si="10"/>
        <v>450000</v>
      </c>
    </row>
    <row r="41" spans="1:17" ht="17.25" customHeight="1" x14ac:dyDescent="0.25">
      <c r="A41" s="583" t="s">
        <v>54</v>
      </c>
      <c r="B41" s="583"/>
      <c r="C41" s="492"/>
      <c r="D41" s="289">
        <v>51</v>
      </c>
      <c r="E41" s="289">
        <v>0</v>
      </c>
      <c r="F41" s="289">
        <v>851</v>
      </c>
      <c r="G41" s="1" t="s">
        <v>18</v>
      </c>
      <c r="H41" s="1" t="s">
        <v>45</v>
      </c>
      <c r="I41" s="1" t="s">
        <v>338</v>
      </c>
      <c r="J41" s="1"/>
      <c r="K41" s="2">
        <f>K42</f>
        <v>1575000</v>
      </c>
      <c r="L41" s="2">
        <f t="shared" ref="L41:O41" si="25">L42</f>
        <v>1575000</v>
      </c>
      <c r="M41" s="2"/>
      <c r="N41" s="2">
        <f t="shared" si="9"/>
        <v>1575000</v>
      </c>
      <c r="O41" s="2">
        <f t="shared" si="25"/>
        <v>1575000</v>
      </c>
      <c r="P41" s="17"/>
      <c r="Q41" s="2">
        <f t="shared" si="10"/>
        <v>1575000</v>
      </c>
    </row>
    <row r="42" spans="1:17" ht="17.25" customHeight="1" x14ac:dyDescent="0.25">
      <c r="A42" s="17"/>
      <c r="B42" s="492" t="s">
        <v>28</v>
      </c>
      <c r="C42" s="497"/>
      <c r="D42" s="289">
        <v>51</v>
      </c>
      <c r="E42" s="289">
        <v>0</v>
      </c>
      <c r="F42" s="289">
        <v>851</v>
      </c>
      <c r="G42" s="1" t="s">
        <v>18</v>
      </c>
      <c r="H42" s="1" t="s">
        <v>45</v>
      </c>
      <c r="I42" s="1" t="s">
        <v>338</v>
      </c>
      <c r="J42" s="1" t="s">
        <v>29</v>
      </c>
      <c r="K42" s="2">
        <f t="shared" ref="K42:O42" si="26">K43</f>
        <v>1575000</v>
      </c>
      <c r="L42" s="2">
        <f t="shared" si="26"/>
        <v>1575000</v>
      </c>
      <c r="M42" s="2"/>
      <c r="N42" s="2">
        <f t="shared" si="9"/>
        <v>1575000</v>
      </c>
      <c r="O42" s="2">
        <f t="shared" si="26"/>
        <v>1575000</v>
      </c>
      <c r="P42" s="17"/>
      <c r="Q42" s="2">
        <f t="shared" si="10"/>
        <v>1575000</v>
      </c>
    </row>
    <row r="43" spans="1:17" ht="25.5" customHeight="1" x14ac:dyDescent="0.25">
      <c r="A43" s="17"/>
      <c r="B43" s="492" t="s">
        <v>30</v>
      </c>
      <c r="C43" s="492"/>
      <c r="D43" s="289">
        <v>51</v>
      </c>
      <c r="E43" s="289">
        <v>0</v>
      </c>
      <c r="F43" s="289">
        <v>851</v>
      </c>
      <c r="G43" s="1" t="s">
        <v>18</v>
      </c>
      <c r="H43" s="1" t="s">
        <v>45</v>
      </c>
      <c r="I43" s="1" t="s">
        <v>338</v>
      </c>
      <c r="J43" s="1" t="s">
        <v>31</v>
      </c>
      <c r="K43" s="2">
        <f>'6 Вед15'!J45</f>
        <v>1575000</v>
      </c>
      <c r="L43" s="2">
        <v>1575000</v>
      </c>
      <c r="M43" s="2"/>
      <c r="N43" s="2">
        <f t="shared" si="9"/>
        <v>1575000</v>
      </c>
      <c r="O43" s="2">
        <v>1575000</v>
      </c>
      <c r="P43" s="17"/>
      <c r="Q43" s="2">
        <f t="shared" si="10"/>
        <v>1575000</v>
      </c>
    </row>
    <row r="44" spans="1:17" ht="26.25" customHeight="1" x14ac:dyDescent="0.25">
      <c r="A44" s="583" t="s">
        <v>70</v>
      </c>
      <c r="B44" s="583"/>
      <c r="C44" s="492"/>
      <c r="D44" s="289">
        <v>51</v>
      </c>
      <c r="E44" s="289">
        <v>0</v>
      </c>
      <c r="F44" s="289">
        <v>851</v>
      </c>
      <c r="G44" s="20" t="s">
        <v>7</v>
      </c>
      <c r="H44" s="20" t="s">
        <v>69</v>
      </c>
      <c r="I44" s="20" t="s">
        <v>341</v>
      </c>
      <c r="J44" s="20"/>
      <c r="K44" s="2">
        <f t="shared" ref="K44:O44" si="27">K45+K47</f>
        <v>173500</v>
      </c>
      <c r="L44" s="2">
        <f t="shared" si="27"/>
        <v>173500</v>
      </c>
      <c r="M44" s="2"/>
      <c r="N44" s="2">
        <f t="shared" si="9"/>
        <v>173500</v>
      </c>
      <c r="O44" s="2">
        <f t="shared" si="27"/>
        <v>173500</v>
      </c>
      <c r="P44" s="17"/>
      <c r="Q44" s="2">
        <f t="shared" si="10"/>
        <v>173500</v>
      </c>
    </row>
    <row r="45" spans="1:17" ht="38.25" customHeight="1" x14ac:dyDescent="0.25">
      <c r="A45" s="492"/>
      <c r="B45" s="497" t="s">
        <v>22</v>
      </c>
      <c r="C45" s="492"/>
      <c r="D45" s="289">
        <v>51</v>
      </c>
      <c r="E45" s="289">
        <v>0</v>
      </c>
      <c r="F45" s="289">
        <v>851</v>
      </c>
      <c r="G45" s="20" t="s">
        <v>7</v>
      </c>
      <c r="H45" s="20" t="s">
        <v>69</v>
      </c>
      <c r="I45" s="20" t="s">
        <v>341</v>
      </c>
      <c r="J45" s="1" t="s">
        <v>24</v>
      </c>
      <c r="K45" s="2">
        <f t="shared" ref="K45:O45" si="28">K46</f>
        <v>97615</v>
      </c>
      <c r="L45" s="2">
        <f t="shared" si="28"/>
        <v>97615</v>
      </c>
      <c r="M45" s="2"/>
      <c r="N45" s="2">
        <f t="shared" si="9"/>
        <v>97615</v>
      </c>
      <c r="O45" s="2">
        <f t="shared" si="28"/>
        <v>97615</v>
      </c>
      <c r="P45" s="17"/>
      <c r="Q45" s="2">
        <f t="shared" si="10"/>
        <v>97615</v>
      </c>
    </row>
    <row r="46" spans="1:17" ht="15" customHeight="1" x14ac:dyDescent="0.25">
      <c r="A46" s="17"/>
      <c r="B46" s="497" t="s">
        <v>25</v>
      </c>
      <c r="C46" s="497"/>
      <c r="D46" s="289">
        <v>51</v>
      </c>
      <c r="E46" s="289">
        <v>0</v>
      </c>
      <c r="F46" s="289">
        <v>851</v>
      </c>
      <c r="G46" s="20" t="s">
        <v>7</v>
      </c>
      <c r="H46" s="20" t="s">
        <v>69</v>
      </c>
      <c r="I46" s="20" t="s">
        <v>341</v>
      </c>
      <c r="J46" s="1" t="s">
        <v>26</v>
      </c>
      <c r="K46" s="2">
        <f>'6 Вед15'!J92</f>
        <v>97615</v>
      </c>
      <c r="L46" s="2">
        <v>97615</v>
      </c>
      <c r="M46" s="2"/>
      <c r="N46" s="2">
        <f t="shared" si="9"/>
        <v>97615</v>
      </c>
      <c r="O46" s="2">
        <v>97615</v>
      </c>
      <c r="P46" s="17"/>
      <c r="Q46" s="2">
        <f t="shared" si="10"/>
        <v>97615</v>
      </c>
    </row>
    <row r="47" spans="1:17" ht="15" customHeight="1" x14ac:dyDescent="0.25">
      <c r="A47" s="17"/>
      <c r="B47" s="492" t="s">
        <v>28</v>
      </c>
      <c r="C47" s="497"/>
      <c r="D47" s="289">
        <v>51</v>
      </c>
      <c r="E47" s="289">
        <v>0</v>
      </c>
      <c r="F47" s="289">
        <v>851</v>
      </c>
      <c r="G47" s="20" t="s">
        <v>7</v>
      </c>
      <c r="H47" s="20" t="s">
        <v>69</v>
      </c>
      <c r="I47" s="20" t="s">
        <v>341</v>
      </c>
      <c r="J47" s="1" t="s">
        <v>29</v>
      </c>
      <c r="K47" s="2">
        <f>K48</f>
        <v>75885</v>
      </c>
      <c r="L47" s="2">
        <f t="shared" ref="L47:O47" si="29">L48</f>
        <v>75885</v>
      </c>
      <c r="M47" s="2"/>
      <c r="N47" s="2">
        <f t="shared" si="9"/>
        <v>75885</v>
      </c>
      <c r="O47" s="2">
        <f t="shared" si="29"/>
        <v>75885</v>
      </c>
      <c r="P47" s="17"/>
      <c r="Q47" s="2">
        <f t="shared" si="10"/>
        <v>75885</v>
      </c>
    </row>
    <row r="48" spans="1:17" ht="24" x14ac:dyDescent="0.25">
      <c r="A48" s="17"/>
      <c r="B48" s="492" t="s">
        <v>30</v>
      </c>
      <c r="C48" s="492"/>
      <c r="D48" s="289">
        <v>51</v>
      </c>
      <c r="E48" s="289">
        <v>0</v>
      </c>
      <c r="F48" s="289">
        <v>851</v>
      </c>
      <c r="G48" s="20" t="s">
        <v>7</v>
      </c>
      <c r="H48" s="20" t="s">
        <v>69</v>
      </c>
      <c r="I48" s="20" t="s">
        <v>341</v>
      </c>
      <c r="J48" s="1" t="s">
        <v>31</v>
      </c>
      <c r="K48" s="2">
        <f>'6 Вед15'!J94</f>
        <v>75885</v>
      </c>
      <c r="L48" s="2">
        <v>75885</v>
      </c>
      <c r="M48" s="2"/>
      <c r="N48" s="2">
        <f t="shared" si="9"/>
        <v>75885</v>
      </c>
      <c r="O48" s="2">
        <v>75885</v>
      </c>
      <c r="P48" s="17"/>
      <c r="Q48" s="2">
        <f t="shared" si="10"/>
        <v>75885</v>
      </c>
    </row>
    <row r="49" spans="1:17" s="221" customFormat="1" ht="14.25" customHeight="1" x14ac:dyDescent="0.2">
      <c r="A49" s="583" t="s">
        <v>570</v>
      </c>
      <c r="B49" s="583"/>
      <c r="C49" s="220"/>
      <c r="D49" s="289">
        <v>51</v>
      </c>
      <c r="E49" s="289">
        <v>0</v>
      </c>
      <c r="F49" s="289">
        <v>851</v>
      </c>
      <c r="G49" s="20" t="s">
        <v>18</v>
      </c>
      <c r="H49" s="20" t="s">
        <v>45</v>
      </c>
      <c r="I49" s="20" t="s">
        <v>573</v>
      </c>
      <c r="J49" s="20"/>
      <c r="K49" s="24">
        <f>K50+K52</f>
        <v>1572000</v>
      </c>
      <c r="L49" s="24">
        <v>1300000</v>
      </c>
      <c r="M49" s="24"/>
      <c r="N49" s="2">
        <f t="shared" si="9"/>
        <v>1300000</v>
      </c>
      <c r="O49" s="24">
        <f t="shared" ref="O49" si="30">O50+O52</f>
        <v>1700000</v>
      </c>
      <c r="P49" s="24">
        <f t="shared" ref="P49:Q49" si="31">P50+P52</f>
        <v>-755500</v>
      </c>
      <c r="Q49" s="24">
        <f t="shared" si="31"/>
        <v>944500</v>
      </c>
    </row>
    <row r="50" spans="1:17" ht="16.5" customHeight="1" x14ac:dyDescent="0.25">
      <c r="A50" s="17"/>
      <c r="B50" s="492" t="s">
        <v>28</v>
      </c>
      <c r="C50" s="497"/>
      <c r="D50" s="289">
        <v>51</v>
      </c>
      <c r="E50" s="289">
        <v>0</v>
      </c>
      <c r="F50" s="289">
        <v>851</v>
      </c>
      <c r="G50" s="20" t="s">
        <v>18</v>
      </c>
      <c r="H50" s="20" t="s">
        <v>45</v>
      </c>
      <c r="I50" s="20" t="s">
        <v>573</v>
      </c>
      <c r="J50" s="1" t="s">
        <v>29</v>
      </c>
      <c r="K50" s="2">
        <f>K51</f>
        <v>172000</v>
      </c>
      <c r="L50" s="2">
        <f t="shared" ref="L50:Q50" si="32">L51</f>
        <v>300000</v>
      </c>
      <c r="M50" s="2"/>
      <c r="N50" s="2">
        <f t="shared" si="9"/>
        <v>300000</v>
      </c>
      <c r="O50" s="2">
        <f t="shared" si="32"/>
        <v>1700000</v>
      </c>
      <c r="P50" s="2">
        <f t="shared" si="32"/>
        <v>-755500</v>
      </c>
      <c r="Q50" s="2">
        <f t="shared" si="32"/>
        <v>944500</v>
      </c>
    </row>
    <row r="51" spans="1:17" ht="24" x14ac:dyDescent="0.25">
      <c r="A51" s="17"/>
      <c r="B51" s="492" t="s">
        <v>30</v>
      </c>
      <c r="C51" s="492"/>
      <c r="D51" s="289">
        <v>51</v>
      </c>
      <c r="E51" s="289">
        <v>0</v>
      </c>
      <c r="F51" s="289">
        <v>851</v>
      </c>
      <c r="G51" s="20" t="s">
        <v>18</v>
      </c>
      <c r="H51" s="20" t="s">
        <v>45</v>
      </c>
      <c r="I51" s="20" t="s">
        <v>573</v>
      </c>
      <c r="J51" s="1" t="s">
        <v>31</v>
      </c>
      <c r="K51" s="2">
        <f>'6 Вед15'!J48</f>
        <v>172000</v>
      </c>
      <c r="L51" s="2">
        <v>300000</v>
      </c>
      <c r="M51" s="2"/>
      <c r="N51" s="2">
        <f t="shared" si="9"/>
        <v>300000</v>
      </c>
      <c r="O51" s="2">
        <v>1700000</v>
      </c>
      <c r="P51" s="448">
        <v>-755500</v>
      </c>
      <c r="Q51" s="2">
        <f>O51+P51</f>
        <v>944500</v>
      </c>
    </row>
    <row r="52" spans="1:17" s="221" customFormat="1" ht="16.5" customHeight="1" x14ac:dyDescent="0.2">
      <c r="A52" s="222"/>
      <c r="B52" s="492" t="s">
        <v>597</v>
      </c>
      <c r="C52" s="220"/>
      <c r="D52" s="289">
        <v>51</v>
      </c>
      <c r="E52" s="289">
        <v>0</v>
      </c>
      <c r="F52" s="289">
        <v>851</v>
      </c>
      <c r="G52" s="20" t="s">
        <v>18</v>
      </c>
      <c r="H52" s="20" t="s">
        <v>45</v>
      </c>
      <c r="I52" s="20" t="s">
        <v>573</v>
      </c>
      <c r="J52" s="20" t="s">
        <v>77</v>
      </c>
      <c r="K52" s="24">
        <f t="shared" ref="K52:O52" si="33">K53</f>
        <v>1400000</v>
      </c>
      <c r="L52" s="24">
        <f t="shared" si="33"/>
        <v>1000000</v>
      </c>
      <c r="M52" s="24"/>
      <c r="N52" s="2">
        <f t="shared" si="9"/>
        <v>1000000</v>
      </c>
      <c r="O52" s="24">
        <f t="shared" si="33"/>
        <v>0</v>
      </c>
      <c r="P52" s="503"/>
      <c r="Q52" s="2">
        <f t="shared" ref="Q52:Q115" si="34">O52+P52</f>
        <v>0</v>
      </c>
    </row>
    <row r="53" spans="1:17" s="221" customFormat="1" ht="24" x14ac:dyDescent="0.2">
      <c r="A53" s="222"/>
      <c r="B53" s="492" t="s">
        <v>78</v>
      </c>
      <c r="C53" s="220"/>
      <c r="D53" s="289">
        <v>51</v>
      </c>
      <c r="E53" s="289">
        <v>0</v>
      </c>
      <c r="F53" s="289">
        <v>851</v>
      </c>
      <c r="G53" s="20" t="s">
        <v>18</v>
      </c>
      <c r="H53" s="20" t="s">
        <v>45</v>
      </c>
      <c r="I53" s="20" t="s">
        <v>573</v>
      </c>
      <c r="J53" s="20" t="s">
        <v>79</v>
      </c>
      <c r="K53" s="24">
        <f>'6 Вед15'!J50</f>
        <v>1400000</v>
      </c>
      <c r="L53" s="24">
        <v>1000000</v>
      </c>
      <c r="M53" s="24"/>
      <c r="N53" s="2">
        <f t="shared" si="9"/>
        <v>1000000</v>
      </c>
      <c r="O53" s="24">
        <v>0</v>
      </c>
      <c r="P53" s="503"/>
      <c r="Q53" s="2">
        <f t="shared" si="34"/>
        <v>0</v>
      </c>
    </row>
    <row r="54" spans="1:17" ht="29.25" customHeight="1" x14ac:dyDescent="0.25">
      <c r="A54" s="583" t="s">
        <v>48</v>
      </c>
      <c r="B54" s="583"/>
      <c r="C54" s="492"/>
      <c r="D54" s="289">
        <v>51</v>
      </c>
      <c r="E54" s="289">
        <v>0</v>
      </c>
      <c r="F54" s="289">
        <v>851</v>
      </c>
      <c r="G54" s="1" t="s">
        <v>18</v>
      </c>
      <c r="H54" s="1" t="s">
        <v>45</v>
      </c>
      <c r="I54" s="1" t="s">
        <v>335</v>
      </c>
      <c r="J54" s="1"/>
      <c r="K54" s="2">
        <f t="shared" ref="K54:Q55" si="35">K55</f>
        <v>2000000</v>
      </c>
      <c r="L54" s="2">
        <f t="shared" si="35"/>
        <v>2000000</v>
      </c>
      <c r="M54" s="2">
        <f t="shared" si="35"/>
        <v>-1321000</v>
      </c>
      <c r="N54" s="2">
        <f t="shared" si="9"/>
        <v>679000</v>
      </c>
      <c r="O54" s="2">
        <f t="shared" si="35"/>
        <v>2000000</v>
      </c>
      <c r="P54" s="448">
        <f t="shared" si="35"/>
        <v>-1400000</v>
      </c>
      <c r="Q54" s="2">
        <f t="shared" si="35"/>
        <v>600000</v>
      </c>
    </row>
    <row r="55" spans="1:17" ht="18" customHeight="1" x14ac:dyDescent="0.25">
      <c r="A55" s="17"/>
      <c r="B55" s="492" t="s">
        <v>28</v>
      </c>
      <c r="C55" s="497"/>
      <c r="D55" s="289">
        <v>51</v>
      </c>
      <c r="E55" s="289">
        <v>0</v>
      </c>
      <c r="F55" s="289">
        <v>851</v>
      </c>
      <c r="G55" s="1" t="s">
        <v>18</v>
      </c>
      <c r="H55" s="20" t="s">
        <v>45</v>
      </c>
      <c r="I55" s="20" t="s">
        <v>335</v>
      </c>
      <c r="J55" s="1" t="s">
        <v>29</v>
      </c>
      <c r="K55" s="2">
        <f t="shared" si="35"/>
        <v>2000000</v>
      </c>
      <c r="L55" s="2">
        <f t="shared" si="35"/>
        <v>2000000</v>
      </c>
      <c r="M55" s="2">
        <f t="shared" si="35"/>
        <v>-1321000</v>
      </c>
      <c r="N55" s="2">
        <f t="shared" si="9"/>
        <v>679000</v>
      </c>
      <c r="O55" s="2">
        <f t="shared" si="35"/>
        <v>2000000</v>
      </c>
      <c r="P55" s="448">
        <f t="shared" si="35"/>
        <v>-1400000</v>
      </c>
      <c r="Q55" s="2">
        <f t="shared" si="35"/>
        <v>600000</v>
      </c>
    </row>
    <row r="56" spans="1:17" ht="25.5" customHeight="1" x14ac:dyDescent="0.25">
      <c r="A56" s="17"/>
      <c r="B56" s="492" t="s">
        <v>30</v>
      </c>
      <c r="C56" s="492"/>
      <c r="D56" s="289">
        <v>51</v>
      </c>
      <c r="E56" s="289">
        <v>0</v>
      </c>
      <c r="F56" s="289">
        <v>851</v>
      </c>
      <c r="G56" s="1" t="s">
        <v>18</v>
      </c>
      <c r="H56" s="20" t="s">
        <v>45</v>
      </c>
      <c r="I56" s="20" t="s">
        <v>335</v>
      </c>
      <c r="J56" s="1" t="s">
        <v>31</v>
      </c>
      <c r="K56" s="2">
        <f>'6 Вед15'!J53</f>
        <v>2000000</v>
      </c>
      <c r="L56" s="2">
        <v>2000000</v>
      </c>
      <c r="M56" s="2">
        <v>-1321000</v>
      </c>
      <c r="N56" s="2">
        <f>L56+M56</f>
        <v>679000</v>
      </c>
      <c r="O56" s="2">
        <v>2000000</v>
      </c>
      <c r="P56" s="448">
        <v>-1400000</v>
      </c>
      <c r="Q56" s="2">
        <f t="shared" si="34"/>
        <v>600000</v>
      </c>
    </row>
    <row r="57" spans="1:17" ht="14.25" customHeight="1" x14ac:dyDescent="0.25">
      <c r="A57" s="583" t="s">
        <v>50</v>
      </c>
      <c r="B57" s="583"/>
      <c r="C57" s="492"/>
      <c r="D57" s="289">
        <v>51</v>
      </c>
      <c r="E57" s="289">
        <v>0</v>
      </c>
      <c r="F57" s="289">
        <v>851</v>
      </c>
      <c r="G57" s="1" t="s">
        <v>18</v>
      </c>
      <c r="H57" s="20" t="s">
        <v>45</v>
      </c>
      <c r="I57" s="20" t="s">
        <v>336</v>
      </c>
      <c r="J57" s="1"/>
      <c r="K57" s="2">
        <f t="shared" ref="K57:O58" si="36">K58</f>
        <v>300000</v>
      </c>
      <c r="L57" s="2">
        <f t="shared" si="36"/>
        <v>300000</v>
      </c>
      <c r="M57" s="2"/>
      <c r="N57" s="2">
        <f t="shared" ref="N57:N120" si="37">L57+M57</f>
        <v>300000</v>
      </c>
      <c r="O57" s="2">
        <f t="shared" si="36"/>
        <v>300000</v>
      </c>
      <c r="P57" s="448"/>
      <c r="Q57" s="2">
        <f t="shared" si="34"/>
        <v>300000</v>
      </c>
    </row>
    <row r="58" spans="1:17" ht="18" customHeight="1" x14ac:dyDescent="0.25">
      <c r="A58" s="17"/>
      <c r="B58" s="492" t="s">
        <v>28</v>
      </c>
      <c r="C58" s="497"/>
      <c r="D58" s="289">
        <v>51</v>
      </c>
      <c r="E58" s="289">
        <v>0</v>
      </c>
      <c r="F58" s="289">
        <v>851</v>
      </c>
      <c r="G58" s="1" t="s">
        <v>18</v>
      </c>
      <c r="H58" s="20" t="s">
        <v>45</v>
      </c>
      <c r="I58" s="20" t="s">
        <v>336</v>
      </c>
      <c r="J58" s="1" t="s">
        <v>29</v>
      </c>
      <c r="K58" s="2">
        <f t="shared" si="36"/>
        <v>300000</v>
      </c>
      <c r="L58" s="2">
        <f t="shared" si="36"/>
        <v>300000</v>
      </c>
      <c r="M58" s="2"/>
      <c r="N58" s="2">
        <f t="shared" si="37"/>
        <v>300000</v>
      </c>
      <c r="O58" s="2">
        <f t="shared" si="36"/>
        <v>300000</v>
      </c>
      <c r="P58" s="448"/>
      <c r="Q58" s="2">
        <f t="shared" si="34"/>
        <v>300000</v>
      </c>
    </row>
    <row r="59" spans="1:17" ht="24" x14ac:dyDescent="0.25">
      <c r="A59" s="17"/>
      <c r="B59" s="492" t="s">
        <v>30</v>
      </c>
      <c r="C59" s="492"/>
      <c r="D59" s="289">
        <v>51</v>
      </c>
      <c r="E59" s="289">
        <v>0</v>
      </c>
      <c r="F59" s="289">
        <v>851</v>
      </c>
      <c r="G59" s="1" t="s">
        <v>18</v>
      </c>
      <c r="H59" s="20" t="s">
        <v>45</v>
      </c>
      <c r="I59" s="20" t="s">
        <v>336</v>
      </c>
      <c r="J59" s="1" t="s">
        <v>31</v>
      </c>
      <c r="K59" s="2">
        <f>'6 Вед15'!J56</f>
        <v>300000</v>
      </c>
      <c r="L59" s="2">
        <v>300000</v>
      </c>
      <c r="M59" s="2"/>
      <c r="N59" s="2">
        <f t="shared" si="37"/>
        <v>300000</v>
      </c>
      <c r="O59" s="2">
        <v>300000</v>
      </c>
      <c r="P59" s="448"/>
      <c r="Q59" s="2">
        <f t="shared" si="34"/>
        <v>300000</v>
      </c>
    </row>
    <row r="60" spans="1:17" x14ac:dyDescent="0.25">
      <c r="A60" s="583" t="s">
        <v>82</v>
      </c>
      <c r="B60" s="583"/>
      <c r="C60" s="492"/>
      <c r="D60" s="289">
        <v>51</v>
      </c>
      <c r="E60" s="289">
        <v>0</v>
      </c>
      <c r="F60" s="289">
        <v>851</v>
      </c>
      <c r="G60" s="1" t="s">
        <v>37</v>
      </c>
      <c r="H60" s="20" t="s">
        <v>74</v>
      </c>
      <c r="I60" s="20" t="s">
        <v>343</v>
      </c>
      <c r="J60" s="1"/>
      <c r="K60" s="2">
        <f>K61+K63</f>
        <v>8214000</v>
      </c>
      <c r="L60" s="2">
        <f t="shared" ref="L60:O60" si="38">L61+L63</f>
        <v>3000000</v>
      </c>
      <c r="M60" s="2">
        <f t="shared" ref="M60:N60" si="39">M61+M63</f>
        <v>-3000000</v>
      </c>
      <c r="N60" s="2">
        <f t="shared" si="39"/>
        <v>0</v>
      </c>
      <c r="O60" s="2">
        <f t="shared" si="38"/>
        <v>2114000</v>
      </c>
      <c r="P60" s="448">
        <f t="shared" ref="P60:Q60" si="40">P61+P63</f>
        <v>-2114000</v>
      </c>
      <c r="Q60" s="2">
        <f t="shared" si="40"/>
        <v>0</v>
      </c>
    </row>
    <row r="61" spans="1:17" ht="15.75" customHeight="1" x14ac:dyDescent="0.25">
      <c r="A61" s="492"/>
      <c r="B61" s="492" t="s">
        <v>28</v>
      </c>
      <c r="C61" s="492"/>
      <c r="D61" s="289">
        <v>51</v>
      </c>
      <c r="E61" s="289">
        <v>0</v>
      </c>
      <c r="F61" s="289">
        <v>851</v>
      </c>
      <c r="G61" s="1" t="s">
        <v>37</v>
      </c>
      <c r="H61" s="20" t="s">
        <v>74</v>
      </c>
      <c r="I61" s="20" t="s">
        <v>343</v>
      </c>
      <c r="J61" s="1" t="s">
        <v>29</v>
      </c>
      <c r="K61" s="2">
        <f t="shared" ref="K61:Q61" si="41">K62</f>
        <v>0</v>
      </c>
      <c r="L61" s="2">
        <f t="shared" si="41"/>
        <v>0</v>
      </c>
      <c r="M61" s="2">
        <f t="shared" si="41"/>
        <v>0</v>
      </c>
      <c r="N61" s="2">
        <f t="shared" si="41"/>
        <v>0</v>
      </c>
      <c r="O61" s="2">
        <f t="shared" si="41"/>
        <v>2114000</v>
      </c>
      <c r="P61" s="448">
        <f t="shared" si="41"/>
        <v>-2114000</v>
      </c>
      <c r="Q61" s="2">
        <f t="shared" si="41"/>
        <v>0</v>
      </c>
    </row>
    <row r="62" spans="1:17" ht="24" x14ac:dyDescent="0.25">
      <c r="A62" s="492"/>
      <c r="B62" s="492" t="s">
        <v>30</v>
      </c>
      <c r="C62" s="492"/>
      <c r="D62" s="289">
        <v>51</v>
      </c>
      <c r="E62" s="289">
        <v>0</v>
      </c>
      <c r="F62" s="289">
        <v>851</v>
      </c>
      <c r="G62" s="1" t="s">
        <v>37</v>
      </c>
      <c r="H62" s="20" t="s">
        <v>74</v>
      </c>
      <c r="I62" s="20" t="s">
        <v>343</v>
      </c>
      <c r="J62" s="1" t="s">
        <v>31</v>
      </c>
      <c r="K62" s="2">
        <f>'6 Вед15'!J123</f>
        <v>0</v>
      </c>
      <c r="L62" s="2">
        <v>0</v>
      </c>
      <c r="M62" s="2"/>
      <c r="N62" s="2">
        <f t="shared" si="37"/>
        <v>0</v>
      </c>
      <c r="O62" s="2">
        <v>2114000</v>
      </c>
      <c r="P62" s="448">
        <v>-2114000</v>
      </c>
      <c r="Q62" s="2">
        <f t="shared" si="34"/>
        <v>0</v>
      </c>
    </row>
    <row r="63" spans="1:17" ht="15.75" customHeight="1" x14ac:dyDescent="0.25">
      <c r="A63" s="492"/>
      <c r="B63" s="492" t="s">
        <v>597</v>
      </c>
      <c r="C63" s="492"/>
      <c r="D63" s="289">
        <v>51</v>
      </c>
      <c r="E63" s="289">
        <v>0</v>
      </c>
      <c r="F63" s="289">
        <v>851</v>
      </c>
      <c r="G63" s="1" t="s">
        <v>37</v>
      </c>
      <c r="H63" s="20" t="s">
        <v>74</v>
      </c>
      <c r="I63" s="20" t="s">
        <v>343</v>
      </c>
      <c r="J63" s="1" t="s">
        <v>77</v>
      </c>
      <c r="K63" s="2">
        <f>K64</f>
        <v>8214000</v>
      </c>
      <c r="L63" s="2">
        <f t="shared" ref="L63:O63" si="42">L64</f>
        <v>3000000</v>
      </c>
      <c r="M63" s="2">
        <f t="shared" si="42"/>
        <v>-3000000</v>
      </c>
      <c r="N63" s="2">
        <f t="shared" si="42"/>
        <v>0</v>
      </c>
      <c r="O63" s="2">
        <f t="shared" si="42"/>
        <v>0</v>
      </c>
      <c r="P63" s="17"/>
      <c r="Q63" s="2">
        <f t="shared" si="34"/>
        <v>0</v>
      </c>
    </row>
    <row r="64" spans="1:17" ht="24" x14ac:dyDescent="0.25">
      <c r="A64" s="492"/>
      <c r="B64" s="492" t="s">
        <v>78</v>
      </c>
      <c r="C64" s="492"/>
      <c r="D64" s="289">
        <v>51</v>
      </c>
      <c r="E64" s="289">
        <v>0</v>
      </c>
      <c r="F64" s="289">
        <v>851</v>
      </c>
      <c r="G64" s="1" t="s">
        <v>37</v>
      </c>
      <c r="H64" s="20" t="s">
        <v>74</v>
      </c>
      <c r="I64" s="20" t="s">
        <v>343</v>
      </c>
      <c r="J64" s="1" t="s">
        <v>79</v>
      </c>
      <c r="K64" s="2">
        <f>'6 Вед15'!J125</f>
        <v>8214000</v>
      </c>
      <c r="L64" s="2">
        <v>3000000</v>
      </c>
      <c r="M64" s="2">
        <v>-3000000</v>
      </c>
      <c r="N64" s="2">
        <f t="shared" si="37"/>
        <v>0</v>
      </c>
      <c r="O64" s="2">
        <v>0</v>
      </c>
      <c r="P64" s="17"/>
      <c r="Q64" s="2">
        <f t="shared" si="34"/>
        <v>0</v>
      </c>
    </row>
    <row r="65" spans="1:17" ht="14.25" customHeight="1" x14ac:dyDescent="0.25">
      <c r="A65" s="583" t="s">
        <v>75</v>
      </c>
      <c r="B65" s="583"/>
      <c r="C65" s="492"/>
      <c r="D65" s="289">
        <v>51</v>
      </c>
      <c r="E65" s="289">
        <v>0</v>
      </c>
      <c r="F65" s="289">
        <v>851</v>
      </c>
      <c r="G65" s="20" t="s">
        <v>64</v>
      </c>
      <c r="H65" s="20" t="s">
        <v>74</v>
      </c>
      <c r="I65" s="20" t="s">
        <v>342</v>
      </c>
      <c r="J65" s="1"/>
      <c r="K65" s="2">
        <f t="shared" ref="K65:O65" si="43">K67</f>
        <v>700000</v>
      </c>
      <c r="L65" s="2">
        <f t="shared" si="43"/>
        <v>700000</v>
      </c>
      <c r="M65" s="2"/>
      <c r="N65" s="2">
        <f t="shared" si="37"/>
        <v>700000</v>
      </c>
      <c r="O65" s="2">
        <f t="shared" si="43"/>
        <v>700000</v>
      </c>
      <c r="P65" s="17"/>
      <c r="Q65" s="2">
        <f t="shared" si="34"/>
        <v>700000</v>
      </c>
    </row>
    <row r="66" spans="1:17" ht="13.5" customHeight="1" x14ac:dyDescent="0.25">
      <c r="A66" s="492"/>
      <c r="B66" s="492" t="s">
        <v>597</v>
      </c>
      <c r="C66" s="492"/>
      <c r="D66" s="289">
        <v>51</v>
      </c>
      <c r="E66" s="289">
        <v>0</v>
      </c>
      <c r="F66" s="289">
        <v>851</v>
      </c>
      <c r="G66" s="20" t="s">
        <v>64</v>
      </c>
      <c r="H66" s="20" t="s">
        <v>74</v>
      </c>
      <c r="I66" s="20" t="s">
        <v>342</v>
      </c>
      <c r="J66" s="1" t="s">
        <v>77</v>
      </c>
      <c r="K66" s="2">
        <f t="shared" ref="K66:O66" si="44">K67</f>
        <v>700000</v>
      </c>
      <c r="L66" s="2">
        <f t="shared" si="44"/>
        <v>700000</v>
      </c>
      <c r="M66" s="2"/>
      <c r="N66" s="2">
        <f t="shared" si="37"/>
        <v>700000</v>
      </c>
      <c r="O66" s="2">
        <f t="shared" si="44"/>
        <v>700000</v>
      </c>
      <c r="P66" s="17"/>
      <c r="Q66" s="2">
        <f t="shared" si="34"/>
        <v>700000</v>
      </c>
    </row>
    <row r="67" spans="1:17" ht="24" x14ac:dyDescent="0.25">
      <c r="A67" s="17"/>
      <c r="B67" s="492" t="s">
        <v>78</v>
      </c>
      <c r="C67" s="492"/>
      <c r="D67" s="289">
        <v>51</v>
      </c>
      <c r="E67" s="289">
        <v>0</v>
      </c>
      <c r="F67" s="289">
        <v>851</v>
      </c>
      <c r="G67" s="20" t="s">
        <v>64</v>
      </c>
      <c r="H67" s="20" t="s">
        <v>74</v>
      </c>
      <c r="I67" s="20" t="s">
        <v>342</v>
      </c>
      <c r="J67" s="1" t="s">
        <v>79</v>
      </c>
      <c r="K67" s="2">
        <f>'6 Вед15'!J109</f>
        <v>700000</v>
      </c>
      <c r="L67" s="2">
        <v>700000</v>
      </c>
      <c r="M67" s="2"/>
      <c r="N67" s="2">
        <f t="shared" si="37"/>
        <v>700000</v>
      </c>
      <c r="O67" s="2">
        <v>700000</v>
      </c>
      <c r="P67" s="17"/>
      <c r="Q67" s="2">
        <f t="shared" si="34"/>
        <v>700000</v>
      </c>
    </row>
    <row r="68" spans="1:17" s="26" customFormat="1" ht="48" customHeight="1" x14ac:dyDescent="0.25">
      <c r="A68" s="583" t="s">
        <v>658</v>
      </c>
      <c r="B68" s="583"/>
      <c r="C68" s="497"/>
      <c r="D68" s="74">
        <v>51</v>
      </c>
      <c r="E68" s="289">
        <v>0</v>
      </c>
      <c r="F68" s="74">
        <v>851</v>
      </c>
      <c r="G68" s="289" t="s">
        <v>74</v>
      </c>
      <c r="H68" s="289" t="s">
        <v>4</v>
      </c>
      <c r="I68" s="289">
        <v>5118</v>
      </c>
      <c r="J68" s="497" t="s">
        <v>164</v>
      </c>
      <c r="K68" s="44">
        <f t="shared" ref="K68:O68" si="45">K69+K71</f>
        <v>428902</v>
      </c>
      <c r="L68" s="44">
        <f t="shared" si="45"/>
        <v>434142</v>
      </c>
      <c r="M68" s="44"/>
      <c r="N68" s="2">
        <f t="shared" si="37"/>
        <v>434142</v>
      </c>
      <c r="O68" s="44">
        <f t="shared" si="45"/>
        <v>414947</v>
      </c>
      <c r="P68" s="497"/>
      <c r="Q68" s="2">
        <f t="shared" si="34"/>
        <v>414947</v>
      </c>
    </row>
    <row r="69" spans="1:17" ht="36" customHeight="1" x14ac:dyDescent="0.25">
      <c r="A69" s="17"/>
      <c r="B69" s="497" t="s">
        <v>22</v>
      </c>
      <c r="C69" s="289"/>
      <c r="D69" s="289">
        <v>51</v>
      </c>
      <c r="E69" s="289">
        <v>0</v>
      </c>
      <c r="F69" s="289">
        <v>851</v>
      </c>
      <c r="G69" s="1" t="s">
        <v>74</v>
      </c>
      <c r="H69" s="1" t="s">
        <v>4</v>
      </c>
      <c r="I69" s="289">
        <v>5118</v>
      </c>
      <c r="J69" s="1" t="s">
        <v>24</v>
      </c>
      <c r="K69" s="2">
        <f t="shared" ref="K69:O69" si="46">K70</f>
        <v>379160</v>
      </c>
      <c r="L69" s="2">
        <f t="shared" si="46"/>
        <v>384400</v>
      </c>
      <c r="M69" s="2"/>
      <c r="N69" s="2">
        <f t="shared" si="37"/>
        <v>384400</v>
      </c>
      <c r="O69" s="2">
        <f t="shared" si="46"/>
        <v>366131</v>
      </c>
      <c r="P69" s="17"/>
      <c r="Q69" s="2">
        <f t="shared" si="34"/>
        <v>366131</v>
      </c>
    </row>
    <row r="70" spans="1:17" ht="14.25" customHeight="1" x14ac:dyDescent="0.25">
      <c r="A70" s="17"/>
      <c r="B70" s="497" t="s">
        <v>25</v>
      </c>
      <c r="C70" s="289"/>
      <c r="D70" s="289">
        <v>51</v>
      </c>
      <c r="E70" s="289">
        <v>0</v>
      </c>
      <c r="F70" s="289">
        <v>851</v>
      </c>
      <c r="G70" s="1" t="s">
        <v>74</v>
      </c>
      <c r="H70" s="1" t="s">
        <v>4</v>
      </c>
      <c r="I70" s="289">
        <v>5118</v>
      </c>
      <c r="J70" s="1" t="s">
        <v>26</v>
      </c>
      <c r="K70" s="2">
        <f>'6 Вед15'!J61</f>
        <v>379160</v>
      </c>
      <c r="L70" s="2">
        <v>384400</v>
      </c>
      <c r="M70" s="2"/>
      <c r="N70" s="2">
        <f t="shared" si="37"/>
        <v>384400</v>
      </c>
      <c r="O70" s="2">
        <v>366131</v>
      </c>
      <c r="P70" s="17"/>
      <c r="Q70" s="2">
        <f t="shared" si="34"/>
        <v>366131</v>
      </c>
    </row>
    <row r="71" spans="1:17" ht="14.25" customHeight="1" x14ac:dyDescent="0.25">
      <c r="A71" s="17"/>
      <c r="B71" s="492" t="s">
        <v>28</v>
      </c>
      <c r="C71" s="289"/>
      <c r="D71" s="289">
        <v>51</v>
      </c>
      <c r="E71" s="289">
        <v>0</v>
      </c>
      <c r="F71" s="289">
        <v>851</v>
      </c>
      <c r="G71" s="1" t="s">
        <v>74</v>
      </c>
      <c r="H71" s="1" t="s">
        <v>4</v>
      </c>
      <c r="I71" s="289">
        <v>5118</v>
      </c>
      <c r="J71" s="1" t="s">
        <v>29</v>
      </c>
      <c r="K71" s="2">
        <f>K72</f>
        <v>49742</v>
      </c>
      <c r="L71" s="2">
        <f t="shared" ref="L71:O71" si="47">L72</f>
        <v>49742</v>
      </c>
      <c r="M71" s="2"/>
      <c r="N71" s="2">
        <f t="shared" si="37"/>
        <v>49742</v>
      </c>
      <c r="O71" s="2">
        <f t="shared" si="47"/>
        <v>48816</v>
      </c>
      <c r="P71" s="17"/>
      <c r="Q71" s="2">
        <f t="shared" si="34"/>
        <v>48816</v>
      </c>
    </row>
    <row r="72" spans="1:17" ht="24" x14ac:dyDescent="0.25">
      <c r="A72" s="17"/>
      <c r="B72" s="492" t="s">
        <v>30</v>
      </c>
      <c r="C72" s="289"/>
      <c r="D72" s="289">
        <v>51</v>
      </c>
      <c r="E72" s="289">
        <v>0</v>
      </c>
      <c r="F72" s="289">
        <v>851</v>
      </c>
      <c r="G72" s="1" t="s">
        <v>74</v>
      </c>
      <c r="H72" s="1" t="s">
        <v>4</v>
      </c>
      <c r="I72" s="289">
        <v>5118</v>
      </c>
      <c r="J72" s="1" t="s">
        <v>31</v>
      </c>
      <c r="K72" s="2">
        <f>'6 Вед15'!J63</f>
        <v>49742</v>
      </c>
      <c r="L72" s="2">
        <v>49742</v>
      </c>
      <c r="M72" s="2"/>
      <c r="N72" s="2">
        <f t="shared" si="37"/>
        <v>49742</v>
      </c>
      <c r="O72" s="2">
        <v>48816</v>
      </c>
      <c r="P72" s="17"/>
      <c r="Q72" s="2">
        <f t="shared" si="34"/>
        <v>48816</v>
      </c>
    </row>
    <row r="73" spans="1:17" ht="48.75" customHeight="1" x14ac:dyDescent="0.25">
      <c r="A73" s="583" t="s">
        <v>655</v>
      </c>
      <c r="B73" s="583"/>
      <c r="C73" s="492"/>
      <c r="D73" s="289">
        <v>51</v>
      </c>
      <c r="E73" s="289">
        <v>0</v>
      </c>
      <c r="F73" s="289">
        <v>851</v>
      </c>
      <c r="G73" s="1" t="s">
        <v>18</v>
      </c>
      <c r="H73" s="1" t="s">
        <v>64</v>
      </c>
      <c r="I73" s="1" t="s">
        <v>657</v>
      </c>
      <c r="J73" s="1"/>
      <c r="K73" s="2">
        <f t="shared" ref="K73:O74" si="48">K74</f>
        <v>0</v>
      </c>
      <c r="L73" s="2">
        <f t="shared" si="48"/>
        <v>0</v>
      </c>
      <c r="M73" s="2"/>
      <c r="N73" s="2">
        <f t="shared" si="37"/>
        <v>0</v>
      </c>
      <c r="O73" s="2">
        <f t="shared" si="48"/>
        <v>5220</v>
      </c>
      <c r="P73" s="17"/>
      <c r="Q73" s="2">
        <f t="shared" si="34"/>
        <v>5220</v>
      </c>
    </row>
    <row r="74" spans="1:17" ht="15" customHeight="1" x14ac:dyDescent="0.25">
      <c r="A74" s="17"/>
      <c r="B74" s="492" t="s">
        <v>28</v>
      </c>
      <c r="C74" s="497"/>
      <c r="D74" s="289">
        <v>51</v>
      </c>
      <c r="E74" s="289">
        <v>0</v>
      </c>
      <c r="F74" s="289">
        <v>851</v>
      </c>
      <c r="G74" s="1" t="s">
        <v>18</v>
      </c>
      <c r="H74" s="1" t="s">
        <v>64</v>
      </c>
      <c r="I74" s="1" t="s">
        <v>657</v>
      </c>
      <c r="J74" s="1" t="s">
        <v>29</v>
      </c>
      <c r="K74" s="2">
        <f t="shared" si="48"/>
        <v>0</v>
      </c>
      <c r="L74" s="2">
        <f t="shared" si="48"/>
        <v>0</v>
      </c>
      <c r="M74" s="2"/>
      <c r="N74" s="2">
        <f t="shared" si="37"/>
        <v>0</v>
      </c>
      <c r="O74" s="2">
        <f t="shared" si="48"/>
        <v>5220</v>
      </c>
      <c r="P74" s="17"/>
      <c r="Q74" s="2">
        <f t="shared" si="34"/>
        <v>5220</v>
      </c>
    </row>
    <row r="75" spans="1:17" ht="24" x14ac:dyDescent="0.25">
      <c r="A75" s="17"/>
      <c r="B75" s="492" t="s">
        <v>30</v>
      </c>
      <c r="C75" s="492"/>
      <c r="D75" s="289">
        <v>51</v>
      </c>
      <c r="E75" s="289">
        <v>0</v>
      </c>
      <c r="F75" s="289">
        <v>851</v>
      </c>
      <c r="G75" s="1" t="s">
        <v>18</v>
      </c>
      <c r="H75" s="1" t="s">
        <v>64</v>
      </c>
      <c r="I75" s="1" t="s">
        <v>657</v>
      </c>
      <c r="J75" s="1" t="s">
        <v>31</v>
      </c>
      <c r="K75" s="2">
        <f>'6 Вед15'!J29</f>
        <v>0</v>
      </c>
      <c r="L75" s="2">
        <v>0</v>
      </c>
      <c r="M75" s="2"/>
      <c r="N75" s="2">
        <f t="shared" si="37"/>
        <v>0</v>
      </c>
      <c r="O75" s="2">
        <v>5220</v>
      </c>
      <c r="P75" s="17"/>
      <c r="Q75" s="2">
        <f t="shared" si="34"/>
        <v>5220</v>
      </c>
    </row>
    <row r="76" spans="1:17" s="15" customFormat="1" x14ac:dyDescent="0.25">
      <c r="A76" s="583" t="s">
        <v>585</v>
      </c>
      <c r="B76" s="583"/>
      <c r="C76" s="492"/>
      <c r="D76" s="289">
        <v>51</v>
      </c>
      <c r="E76" s="289">
        <v>0</v>
      </c>
      <c r="F76" s="289">
        <v>851</v>
      </c>
      <c r="G76" s="20" t="s">
        <v>64</v>
      </c>
      <c r="H76" s="20" t="s">
        <v>18</v>
      </c>
      <c r="I76" s="20" t="s">
        <v>587</v>
      </c>
      <c r="J76" s="1"/>
      <c r="K76" s="2">
        <f t="shared" ref="K76:O77" si="49">K77</f>
        <v>41440</v>
      </c>
      <c r="L76" s="2">
        <f t="shared" si="49"/>
        <v>41500</v>
      </c>
      <c r="M76" s="2"/>
      <c r="N76" s="2">
        <f t="shared" si="37"/>
        <v>41500</v>
      </c>
      <c r="O76" s="2">
        <f t="shared" si="49"/>
        <v>41495</v>
      </c>
      <c r="P76" s="500"/>
      <c r="Q76" s="2">
        <f t="shared" si="34"/>
        <v>41495</v>
      </c>
    </row>
    <row r="77" spans="1:17" s="15" customFormat="1" ht="14.25" customHeight="1" x14ac:dyDescent="0.25">
      <c r="A77" s="492"/>
      <c r="B77" s="492" t="s">
        <v>28</v>
      </c>
      <c r="C77" s="492"/>
      <c r="D77" s="289">
        <v>51</v>
      </c>
      <c r="E77" s="289">
        <v>0</v>
      </c>
      <c r="F77" s="289">
        <v>851</v>
      </c>
      <c r="G77" s="20" t="s">
        <v>64</v>
      </c>
      <c r="H77" s="20" t="s">
        <v>18</v>
      </c>
      <c r="I77" s="20" t="s">
        <v>587</v>
      </c>
      <c r="J77" s="1" t="s">
        <v>29</v>
      </c>
      <c r="K77" s="2">
        <f t="shared" si="49"/>
        <v>41440</v>
      </c>
      <c r="L77" s="2">
        <f t="shared" si="49"/>
        <v>41500</v>
      </c>
      <c r="M77" s="2"/>
      <c r="N77" s="2">
        <f t="shared" si="37"/>
        <v>41500</v>
      </c>
      <c r="O77" s="2">
        <f t="shared" si="49"/>
        <v>41495</v>
      </c>
      <c r="P77" s="500"/>
      <c r="Q77" s="2">
        <f t="shared" si="34"/>
        <v>41495</v>
      </c>
    </row>
    <row r="78" spans="1:17" s="15" customFormat="1" ht="24" x14ac:dyDescent="0.25">
      <c r="A78" s="492"/>
      <c r="B78" s="492" t="s">
        <v>30</v>
      </c>
      <c r="C78" s="492"/>
      <c r="D78" s="289">
        <v>51</v>
      </c>
      <c r="E78" s="289">
        <v>0</v>
      </c>
      <c r="F78" s="289">
        <v>851</v>
      </c>
      <c r="G78" s="20" t="s">
        <v>64</v>
      </c>
      <c r="H78" s="20" t="s">
        <v>18</v>
      </c>
      <c r="I78" s="20" t="s">
        <v>587</v>
      </c>
      <c r="J78" s="1" t="s">
        <v>31</v>
      </c>
      <c r="K78" s="2">
        <f>'6 Вед15'!J102</f>
        <v>41440</v>
      </c>
      <c r="L78" s="2">
        <v>41500</v>
      </c>
      <c r="M78" s="2"/>
      <c r="N78" s="2">
        <f t="shared" si="37"/>
        <v>41500</v>
      </c>
      <c r="O78" s="2">
        <v>41495</v>
      </c>
      <c r="P78" s="500"/>
      <c r="Q78" s="2">
        <f t="shared" si="34"/>
        <v>41495</v>
      </c>
    </row>
    <row r="79" spans="1:17" x14ac:dyDescent="0.25">
      <c r="A79" s="583" t="s">
        <v>614</v>
      </c>
      <c r="B79" s="583"/>
      <c r="C79" s="492"/>
      <c r="D79" s="289">
        <v>51</v>
      </c>
      <c r="E79" s="289">
        <v>0</v>
      </c>
      <c r="F79" s="289">
        <v>851</v>
      </c>
      <c r="G79" s="1" t="s">
        <v>7</v>
      </c>
      <c r="H79" s="1" t="s">
        <v>58</v>
      </c>
      <c r="I79" s="1" t="s">
        <v>618</v>
      </c>
      <c r="J79" s="1"/>
      <c r="K79" s="2">
        <f>K80</f>
        <v>2558000</v>
      </c>
      <c r="L79" s="2">
        <f t="shared" ref="L79:O80" si="50">L80</f>
        <v>3185000</v>
      </c>
      <c r="M79" s="2"/>
      <c r="N79" s="2">
        <f t="shared" si="37"/>
        <v>3185000</v>
      </c>
      <c r="O79" s="2">
        <f t="shared" si="50"/>
        <v>2546000</v>
      </c>
      <c r="P79" s="17"/>
      <c r="Q79" s="2">
        <f t="shared" si="34"/>
        <v>2546000</v>
      </c>
    </row>
    <row r="80" spans="1:17" ht="15" customHeight="1" x14ac:dyDescent="0.25">
      <c r="A80" s="492"/>
      <c r="B80" s="492" t="s">
        <v>28</v>
      </c>
      <c r="C80" s="492"/>
      <c r="D80" s="289">
        <v>51</v>
      </c>
      <c r="E80" s="289">
        <v>0</v>
      </c>
      <c r="F80" s="289">
        <v>851</v>
      </c>
      <c r="G80" s="1" t="s">
        <v>7</v>
      </c>
      <c r="H80" s="1" t="s">
        <v>58</v>
      </c>
      <c r="I80" s="1" t="s">
        <v>618</v>
      </c>
      <c r="J80" s="1" t="s">
        <v>29</v>
      </c>
      <c r="K80" s="2">
        <f>K81</f>
        <v>2558000</v>
      </c>
      <c r="L80" s="2">
        <f t="shared" si="50"/>
        <v>3185000</v>
      </c>
      <c r="M80" s="2"/>
      <c r="N80" s="2">
        <f t="shared" si="37"/>
        <v>3185000</v>
      </c>
      <c r="O80" s="2">
        <f t="shared" si="50"/>
        <v>2546000</v>
      </c>
      <c r="P80" s="17"/>
      <c r="Q80" s="2">
        <f t="shared" si="34"/>
        <v>2546000</v>
      </c>
    </row>
    <row r="81" spans="1:17" ht="24" x14ac:dyDescent="0.25">
      <c r="A81" s="492"/>
      <c r="B81" s="492" t="s">
        <v>30</v>
      </c>
      <c r="C81" s="492"/>
      <c r="D81" s="289">
        <v>51</v>
      </c>
      <c r="E81" s="289">
        <v>0</v>
      </c>
      <c r="F81" s="289">
        <v>851</v>
      </c>
      <c r="G81" s="1" t="s">
        <v>7</v>
      </c>
      <c r="H81" s="1" t="s">
        <v>58</v>
      </c>
      <c r="I81" s="1" t="s">
        <v>618</v>
      </c>
      <c r="J81" s="1" t="s">
        <v>31</v>
      </c>
      <c r="K81" s="2">
        <f>'6 Вед15'!J88</f>
        <v>2558000</v>
      </c>
      <c r="L81" s="2">
        <v>3185000</v>
      </c>
      <c r="M81" s="2"/>
      <c r="N81" s="2">
        <f t="shared" si="37"/>
        <v>3185000</v>
      </c>
      <c r="O81" s="2">
        <v>2546000</v>
      </c>
      <c r="P81" s="17"/>
      <c r="Q81" s="2">
        <f t="shared" si="34"/>
        <v>2546000</v>
      </c>
    </row>
    <row r="82" spans="1:17" s="15" customFormat="1" ht="28.5" customHeight="1" x14ac:dyDescent="0.25">
      <c r="A82" s="589" t="s">
        <v>660</v>
      </c>
      <c r="B82" s="589"/>
      <c r="C82" s="492"/>
      <c r="D82" s="99">
        <v>51</v>
      </c>
      <c r="E82" s="99">
        <v>1</v>
      </c>
      <c r="F82" s="18"/>
      <c r="G82" s="12"/>
      <c r="H82" s="12"/>
      <c r="I82" s="12"/>
      <c r="J82" s="12"/>
      <c r="K82" s="14">
        <f>K83</f>
        <v>55000</v>
      </c>
      <c r="L82" s="14">
        <f t="shared" ref="L82:O83" si="51">L83</f>
        <v>55000</v>
      </c>
      <c r="M82" s="14"/>
      <c r="N82" s="2">
        <f t="shared" si="37"/>
        <v>55000</v>
      </c>
      <c r="O82" s="14">
        <f t="shared" si="51"/>
        <v>55000</v>
      </c>
      <c r="P82" s="500"/>
      <c r="Q82" s="2">
        <f t="shared" si="34"/>
        <v>55000</v>
      </c>
    </row>
    <row r="83" spans="1:17" s="15" customFormat="1" ht="14.25" customHeight="1" x14ac:dyDescent="0.25">
      <c r="A83" s="589" t="s">
        <v>16</v>
      </c>
      <c r="B83" s="589"/>
      <c r="C83" s="492"/>
      <c r="D83" s="99">
        <v>51</v>
      </c>
      <c r="E83" s="99">
        <v>1</v>
      </c>
      <c r="F83" s="18">
        <v>851</v>
      </c>
      <c r="G83" s="12"/>
      <c r="H83" s="12"/>
      <c r="I83" s="12"/>
      <c r="J83" s="12"/>
      <c r="K83" s="14">
        <f>K84</f>
        <v>55000</v>
      </c>
      <c r="L83" s="14">
        <f t="shared" si="51"/>
        <v>55000</v>
      </c>
      <c r="M83" s="14"/>
      <c r="N83" s="2">
        <f t="shared" si="37"/>
        <v>55000</v>
      </c>
      <c r="O83" s="14">
        <f t="shared" si="51"/>
        <v>55000</v>
      </c>
      <c r="P83" s="500"/>
      <c r="Q83" s="2">
        <f t="shared" si="34"/>
        <v>55000</v>
      </c>
    </row>
    <row r="84" spans="1:17" ht="27" customHeight="1" x14ac:dyDescent="0.25">
      <c r="A84" s="583" t="s">
        <v>65</v>
      </c>
      <c r="B84" s="583"/>
      <c r="C84" s="492"/>
      <c r="D84" s="289">
        <v>51</v>
      </c>
      <c r="E84" s="289">
        <v>1</v>
      </c>
      <c r="F84" s="289">
        <v>851</v>
      </c>
      <c r="G84" s="1" t="s">
        <v>7</v>
      </c>
      <c r="H84" s="1" t="s">
        <v>64</v>
      </c>
      <c r="I84" s="1" t="s">
        <v>340</v>
      </c>
      <c r="J84" s="1"/>
      <c r="K84" s="2">
        <f t="shared" ref="K84:O85" si="52">K85</f>
        <v>55000</v>
      </c>
      <c r="L84" s="2">
        <f t="shared" si="52"/>
        <v>55000</v>
      </c>
      <c r="M84" s="2"/>
      <c r="N84" s="2">
        <f t="shared" si="37"/>
        <v>55000</v>
      </c>
      <c r="O84" s="2">
        <f t="shared" si="52"/>
        <v>55000</v>
      </c>
      <c r="P84" s="17"/>
      <c r="Q84" s="2">
        <f t="shared" si="34"/>
        <v>55000</v>
      </c>
    </row>
    <row r="85" spans="1:17" ht="15" customHeight="1" x14ac:dyDescent="0.25">
      <c r="A85" s="17"/>
      <c r="B85" s="492" t="s">
        <v>28</v>
      </c>
      <c r="C85" s="497"/>
      <c r="D85" s="289">
        <v>51</v>
      </c>
      <c r="E85" s="289">
        <v>1</v>
      </c>
      <c r="F85" s="289">
        <v>851</v>
      </c>
      <c r="G85" s="1" t="s">
        <v>7</v>
      </c>
      <c r="H85" s="1" t="s">
        <v>64</v>
      </c>
      <c r="I85" s="1" t="s">
        <v>340</v>
      </c>
      <c r="J85" s="1" t="s">
        <v>29</v>
      </c>
      <c r="K85" s="2">
        <f t="shared" si="52"/>
        <v>55000</v>
      </c>
      <c r="L85" s="2">
        <f t="shared" si="52"/>
        <v>55000</v>
      </c>
      <c r="M85" s="2"/>
      <c r="N85" s="2">
        <f t="shared" si="37"/>
        <v>55000</v>
      </c>
      <c r="O85" s="2">
        <f t="shared" si="52"/>
        <v>55000</v>
      </c>
      <c r="P85" s="17"/>
      <c r="Q85" s="2">
        <f t="shared" si="34"/>
        <v>55000</v>
      </c>
    </row>
    <row r="86" spans="1:17" ht="25.5" customHeight="1" x14ac:dyDescent="0.25">
      <c r="A86" s="17"/>
      <c r="B86" s="492" t="s">
        <v>30</v>
      </c>
      <c r="C86" s="492"/>
      <c r="D86" s="289">
        <v>51</v>
      </c>
      <c r="E86" s="289">
        <v>1</v>
      </c>
      <c r="F86" s="289">
        <v>851</v>
      </c>
      <c r="G86" s="1" t="s">
        <v>7</v>
      </c>
      <c r="H86" s="1" t="s">
        <v>64</v>
      </c>
      <c r="I86" s="1" t="s">
        <v>340</v>
      </c>
      <c r="J86" s="1" t="s">
        <v>31</v>
      </c>
      <c r="K86" s="2">
        <f>'6 Вед15'!J81</f>
        <v>55000</v>
      </c>
      <c r="L86" s="2">
        <v>55000</v>
      </c>
      <c r="M86" s="2"/>
      <c r="N86" s="2">
        <f t="shared" si="37"/>
        <v>55000</v>
      </c>
      <c r="O86" s="2">
        <v>55000</v>
      </c>
      <c r="P86" s="17"/>
      <c r="Q86" s="2">
        <f t="shared" si="34"/>
        <v>55000</v>
      </c>
    </row>
    <row r="87" spans="1:17" s="15" customFormat="1" x14ac:dyDescent="0.25">
      <c r="A87" s="589" t="s">
        <v>661</v>
      </c>
      <c r="B87" s="589"/>
      <c r="C87" s="495"/>
      <c r="D87" s="18">
        <v>51</v>
      </c>
      <c r="E87" s="18">
        <v>2</v>
      </c>
      <c r="F87" s="18"/>
      <c r="G87" s="12"/>
      <c r="H87" s="22"/>
      <c r="I87" s="22"/>
      <c r="J87" s="12"/>
      <c r="K87" s="14">
        <f>K88</f>
        <v>14856640</v>
      </c>
      <c r="L87" s="14">
        <f t="shared" ref="L87:O87" si="53">L88</f>
        <v>3048140</v>
      </c>
      <c r="M87" s="14"/>
      <c r="N87" s="2">
        <f t="shared" si="37"/>
        <v>3048140</v>
      </c>
      <c r="O87" s="14">
        <f t="shared" si="53"/>
        <v>3048140</v>
      </c>
      <c r="P87" s="500"/>
      <c r="Q87" s="2">
        <f t="shared" si="34"/>
        <v>3048140</v>
      </c>
    </row>
    <row r="88" spans="1:17" s="15" customFormat="1" x14ac:dyDescent="0.25">
      <c r="A88" s="589" t="s">
        <v>16</v>
      </c>
      <c r="B88" s="589"/>
      <c r="C88" s="495"/>
      <c r="D88" s="18">
        <v>51</v>
      </c>
      <c r="E88" s="18">
        <v>2</v>
      </c>
      <c r="F88" s="18">
        <v>851</v>
      </c>
      <c r="G88" s="12"/>
      <c r="H88" s="22"/>
      <c r="I88" s="22"/>
      <c r="J88" s="12"/>
      <c r="K88" s="14">
        <f>K89+K92+K95+K98+K101+K104+K107</f>
        <v>14856640</v>
      </c>
      <c r="L88" s="14">
        <f t="shared" ref="L88:O88" si="54">L89+L92+L95+L98+L101+L104+L107</f>
        <v>3048140</v>
      </c>
      <c r="M88" s="14"/>
      <c r="N88" s="2">
        <f t="shared" si="37"/>
        <v>3048140</v>
      </c>
      <c r="O88" s="14">
        <f t="shared" si="54"/>
        <v>3048140</v>
      </c>
      <c r="P88" s="500"/>
      <c r="Q88" s="2">
        <f t="shared" si="34"/>
        <v>3048140</v>
      </c>
    </row>
    <row r="89" spans="1:17" x14ac:dyDescent="0.25">
      <c r="A89" s="583" t="s">
        <v>93</v>
      </c>
      <c r="B89" s="583"/>
      <c r="C89" s="492"/>
      <c r="D89" s="289">
        <v>51</v>
      </c>
      <c r="E89" s="289">
        <v>2</v>
      </c>
      <c r="F89" s="289">
        <v>851</v>
      </c>
      <c r="G89" s="245" t="s">
        <v>86</v>
      </c>
      <c r="H89" s="245" t="s">
        <v>18</v>
      </c>
      <c r="I89" s="1" t="s">
        <v>345</v>
      </c>
      <c r="J89" s="1"/>
      <c r="K89" s="2">
        <f t="shared" ref="K89:O90" si="55">K90</f>
        <v>2580900</v>
      </c>
      <c r="L89" s="2">
        <f t="shared" si="55"/>
        <v>2580900</v>
      </c>
      <c r="M89" s="2"/>
      <c r="N89" s="2">
        <f t="shared" si="37"/>
        <v>2580900</v>
      </c>
      <c r="O89" s="2">
        <f t="shared" si="55"/>
        <v>2580900</v>
      </c>
      <c r="P89" s="17"/>
      <c r="Q89" s="2">
        <f t="shared" si="34"/>
        <v>2580900</v>
      </c>
    </row>
    <row r="90" spans="1:17" ht="24" x14ac:dyDescent="0.25">
      <c r="A90" s="495"/>
      <c r="B90" s="492" t="s">
        <v>95</v>
      </c>
      <c r="C90" s="495"/>
      <c r="D90" s="289">
        <v>51</v>
      </c>
      <c r="E90" s="289">
        <v>2</v>
      </c>
      <c r="F90" s="289">
        <v>851</v>
      </c>
      <c r="G90" s="1" t="s">
        <v>86</v>
      </c>
      <c r="H90" s="1" t="s">
        <v>18</v>
      </c>
      <c r="I90" s="1" t="s">
        <v>345</v>
      </c>
      <c r="J90" s="1" t="s">
        <v>90</v>
      </c>
      <c r="K90" s="2">
        <f t="shared" si="55"/>
        <v>2580900</v>
      </c>
      <c r="L90" s="2">
        <f t="shared" si="55"/>
        <v>2580900</v>
      </c>
      <c r="M90" s="2"/>
      <c r="N90" s="2">
        <f t="shared" si="37"/>
        <v>2580900</v>
      </c>
      <c r="O90" s="2">
        <f t="shared" si="55"/>
        <v>2580900</v>
      </c>
      <c r="P90" s="17"/>
      <c r="Q90" s="2">
        <f t="shared" si="34"/>
        <v>2580900</v>
      </c>
    </row>
    <row r="91" spans="1:17" ht="36" x14ac:dyDescent="0.25">
      <c r="A91" s="495"/>
      <c r="B91" s="492" t="s">
        <v>91</v>
      </c>
      <c r="C91" s="495"/>
      <c r="D91" s="289">
        <v>51</v>
      </c>
      <c r="E91" s="289">
        <v>2</v>
      </c>
      <c r="F91" s="289">
        <v>851</v>
      </c>
      <c r="G91" s="1" t="s">
        <v>86</v>
      </c>
      <c r="H91" s="1" t="s">
        <v>18</v>
      </c>
      <c r="I91" s="1" t="s">
        <v>345</v>
      </c>
      <c r="J91" s="1" t="s">
        <v>92</v>
      </c>
      <c r="K91" s="2">
        <f>'6 Вед15'!J130</f>
        <v>2580900</v>
      </c>
      <c r="L91" s="2">
        <v>2580900</v>
      </c>
      <c r="M91" s="2"/>
      <c r="N91" s="2">
        <f t="shared" si="37"/>
        <v>2580900</v>
      </c>
      <c r="O91" s="2">
        <v>2580900</v>
      </c>
      <c r="P91" s="17"/>
      <c r="Q91" s="2">
        <f t="shared" si="34"/>
        <v>2580900</v>
      </c>
    </row>
    <row r="92" spans="1:17" ht="12" customHeight="1" x14ac:dyDescent="0.25">
      <c r="A92" s="583" t="s">
        <v>606</v>
      </c>
      <c r="B92" s="583"/>
      <c r="C92" s="492"/>
      <c r="D92" s="289">
        <v>51</v>
      </c>
      <c r="E92" s="289">
        <v>2</v>
      </c>
      <c r="F92" s="289">
        <v>851</v>
      </c>
      <c r="G92" s="1" t="s">
        <v>86</v>
      </c>
      <c r="H92" s="1" t="s">
        <v>18</v>
      </c>
      <c r="I92" s="74">
        <v>1055</v>
      </c>
      <c r="J92" s="1"/>
      <c r="K92" s="2">
        <f t="shared" ref="K92:O93" si="56">K93</f>
        <v>157900</v>
      </c>
      <c r="L92" s="2">
        <f t="shared" si="56"/>
        <v>157700</v>
      </c>
      <c r="M92" s="2"/>
      <c r="N92" s="2">
        <f t="shared" si="37"/>
        <v>157700</v>
      </c>
      <c r="O92" s="2">
        <f t="shared" si="56"/>
        <v>157700</v>
      </c>
      <c r="P92" s="17"/>
      <c r="Q92" s="2">
        <f t="shared" si="34"/>
        <v>157700</v>
      </c>
    </row>
    <row r="93" spans="1:17" ht="24" x14ac:dyDescent="0.25">
      <c r="A93" s="492"/>
      <c r="B93" s="307" t="s">
        <v>95</v>
      </c>
      <c r="C93" s="492"/>
      <c r="D93" s="289">
        <v>51</v>
      </c>
      <c r="E93" s="289">
        <v>2</v>
      </c>
      <c r="F93" s="289">
        <v>851</v>
      </c>
      <c r="G93" s="1" t="s">
        <v>86</v>
      </c>
      <c r="H93" s="1" t="s">
        <v>18</v>
      </c>
      <c r="I93" s="74">
        <v>1055</v>
      </c>
      <c r="J93" s="17">
        <v>600</v>
      </c>
      <c r="K93" s="2">
        <f t="shared" si="56"/>
        <v>157900</v>
      </c>
      <c r="L93" s="2">
        <f t="shared" si="56"/>
        <v>157700</v>
      </c>
      <c r="M93" s="2"/>
      <c r="N93" s="2">
        <f t="shared" si="37"/>
        <v>157700</v>
      </c>
      <c r="O93" s="2">
        <f t="shared" si="56"/>
        <v>157700</v>
      </c>
      <c r="P93" s="17"/>
      <c r="Q93" s="2">
        <f t="shared" si="34"/>
        <v>157700</v>
      </c>
    </row>
    <row r="94" spans="1:17" ht="36" x14ac:dyDescent="0.25">
      <c r="A94" s="492"/>
      <c r="B94" s="492" t="s">
        <v>91</v>
      </c>
      <c r="C94" s="492"/>
      <c r="D94" s="289">
        <v>51</v>
      </c>
      <c r="E94" s="289">
        <v>2</v>
      </c>
      <c r="F94" s="289">
        <v>851</v>
      </c>
      <c r="G94" s="1" t="s">
        <v>86</v>
      </c>
      <c r="H94" s="1" t="s">
        <v>18</v>
      </c>
      <c r="I94" s="74">
        <v>1055</v>
      </c>
      <c r="J94" s="17">
        <v>611</v>
      </c>
      <c r="K94" s="2">
        <f>'6 Вед15'!J133</f>
        <v>157900</v>
      </c>
      <c r="L94" s="2">
        <v>157700</v>
      </c>
      <c r="M94" s="2"/>
      <c r="N94" s="2">
        <f t="shared" si="37"/>
        <v>157700</v>
      </c>
      <c r="O94" s="2">
        <v>157700</v>
      </c>
      <c r="P94" s="17"/>
      <c r="Q94" s="2">
        <f t="shared" si="34"/>
        <v>157700</v>
      </c>
    </row>
    <row r="95" spans="1:17" ht="38.25" hidden="1" customHeight="1" x14ac:dyDescent="0.25">
      <c r="A95" s="583" t="s">
        <v>608</v>
      </c>
      <c r="B95" s="583"/>
      <c r="C95" s="492"/>
      <c r="D95" s="289">
        <v>51</v>
      </c>
      <c r="E95" s="289">
        <v>2</v>
      </c>
      <c r="F95" s="289">
        <v>851</v>
      </c>
      <c r="G95" s="1" t="s">
        <v>86</v>
      </c>
      <c r="H95" s="1" t="s">
        <v>18</v>
      </c>
      <c r="I95" s="74">
        <v>1057</v>
      </c>
      <c r="J95" s="17"/>
      <c r="K95" s="2">
        <f>K96</f>
        <v>8947680</v>
      </c>
      <c r="L95" s="2">
        <f t="shared" ref="L95:O96" si="57">L96</f>
        <v>0</v>
      </c>
      <c r="M95" s="2"/>
      <c r="N95" s="2">
        <f t="shared" si="37"/>
        <v>0</v>
      </c>
      <c r="O95" s="2">
        <f t="shared" si="57"/>
        <v>0</v>
      </c>
      <c r="P95" s="17"/>
      <c r="Q95" s="2">
        <f t="shared" si="34"/>
        <v>0</v>
      </c>
    </row>
    <row r="96" spans="1:17" ht="24" hidden="1" x14ac:dyDescent="0.25">
      <c r="A96" s="492"/>
      <c r="B96" s="307" t="s">
        <v>95</v>
      </c>
      <c r="C96" s="492"/>
      <c r="D96" s="289">
        <v>51</v>
      </c>
      <c r="E96" s="289">
        <v>2</v>
      </c>
      <c r="F96" s="289">
        <v>851</v>
      </c>
      <c r="G96" s="1" t="s">
        <v>86</v>
      </c>
      <c r="H96" s="1" t="s">
        <v>18</v>
      </c>
      <c r="I96" s="74">
        <v>1057</v>
      </c>
      <c r="J96" s="17">
        <v>600</v>
      </c>
      <c r="K96" s="2">
        <f>K97</f>
        <v>8947680</v>
      </c>
      <c r="L96" s="2">
        <f t="shared" si="57"/>
        <v>0</v>
      </c>
      <c r="M96" s="2"/>
      <c r="N96" s="2">
        <f t="shared" si="37"/>
        <v>0</v>
      </c>
      <c r="O96" s="2">
        <f t="shared" si="57"/>
        <v>0</v>
      </c>
      <c r="P96" s="17"/>
      <c r="Q96" s="2">
        <f t="shared" si="34"/>
        <v>0</v>
      </c>
    </row>
    <row r="97" spans="1:17" ht="36" hidden="1" x14ac:dyDescent="0.25">
      <c r="A97" s="492"/>
      <c r="B97" s="492" t="s">
        <v>91</v>
      </c>
      <c r="C97" s="492"/>
      <c r="D97" s="289">
        <v>51</v>
      </c>
      <c r="E97" s="289">
        <v>2</v>
      </c>
      <c r="F97" s="289">
        <v>851</v>
      </c>
      <c r="G97" s="1" t="s">
        <v>86</v>
      </c>
      <c r="H97" s="1" t="s">
        <v>18</v>
      </c>
      <c r="I97" s="74">
        <v>1057</v>
      </c>
      <c r="J97" s="17">
        <v>611</v>
      </c>
      <c r="K97" s="2">
        <f>'6 Вед15'!J136</f>
        <v>8947680</v>
      </c>
      <c r="L97" s="2">
        <f>'6 Вед15'!K136</f>
        <v>0</v>
      </c>
      <c r="M97" s="2"/>
      <c r="N97" s="2">
        <f t="shared" si="37"/>
        <v>0</v>
      </c>
      <c r="O97" s="2">
        <v>0</v>
      </c>
      <c r="P97" s="17"/>
      <c r="Q97" s="2">
        <f t="shared" si="34"/>
        <v>0</v>
      </c>
    </row>
    <row r="98" spans="1:17" ht="38.25" hidden="1" customHeight="1" x14ac:dyDescent="0.25">
      <c r="A98" s="583" t="s">
        <v>609</v>
      </c>
      <c r="B98" s="583"/>
      <c r="C98" s="492"/>
      <c r="D98" s="289">
        <v>51</v>
      </c>
      <c r="E98" s="289">
        <v>2</v>
      </c>
      <c r="F98" s="289">
        <v>851</v>
      </c>
      <c r="G98" s="1" t="s">
        <v>86</v>
      </c>
      <c r="H98" s="1" t="s">
        <v>18</v>
      </c>
      <c r="I98" s="74">
        <v>1058</v>
      </c>
      <c r="J98" s="17"/>
      <c r="K98" s="2">
        <f>K99</f>
        <v>2860620</v>
      </c>
      <c r="L98" s="2">
        <f t="shared" ref="L98:O99" si="58">L99</f>
        <v>0</v>
      </c>
      <c r="M98" s="2"/>
      <c r="N98" s="2">
        <f t="shared" si="37"/>
        <v>0</v>
      </c>
      <c r="O98" s="2">
        <f t="shared" si="58"/>
        <v>0</v>
      </c>
      <c r="P98" s="17"/>
      <c r="Q98" s="2">
        <f t="shared" si="34"/>
        <v>0</v>
      </c>
    </row>
    <row r="99" spans="1:17" ht="24" hidden="1" x14ac:dyDescent="0.25">
      <c r="A99" s="492"/>
      <c r="B99" s="307" t="s">
        <v>95</v>
      </c>
      <c r="C99" s="492"/>
      <c r="D99" s="289">
        <v>51</v>
      </c>
      <c r="E99" s="289">
        <v>2</v>
      </c>
      <c r="F99" s="289">
        <v>851</v>
      </c>
      <c r="G99" s="1" t="s">
        <v>86</v>
      </c>
      <c r="H99" s="1" t="s">
        <v>18</v>
      </c>
      <c r="I99" s="74">
        <v>1058</v>
      </c>
      <c r="J99" s="17">
        <v>600</v>
      </c>
      <c r="K99" s="2">
        <f>K100</f>
        <v>2860620</v>
      </c>
      <c r="L99" s="2">
        <f t="shared" si="58"/>
        <v>0</v>
      </c>
      <c r="M99" s="2"/>
      <c r="N99" s="2">
        <f t="shared" si="37"/>
        <v>0</v>
      </c>
      <c r="O99" s="2">
        <f t="shared" si="58"/>
        <v>0</v>
      </c>
      <c r="P99" s="17"/>
      <c r="Q99" s="2">
        <f t="shared" si="34"/>
        <v>0</v>
      </c>
    </row>
    <row r="100" spans="1:17" ht="36" hidden="1" x14ac:dyDescent="0.25">
      <c r="A100" s="492"/>
      <c r="B100" s="492" t="s">
        <v>91</v>
      </c>
      <c r="C100" s="492"/>
      <c r="D100" s="289">
        <v>51</v>
      </c>
      <c r="E100" s="289">
        <v>2</v>
      </c>
      <c r="F100" s="289">
        <v>851</v>
      </c>
      <c r="G100" s="1" t="s">
        <v>86</v>
      </c>
      <c r="H100" s="1" t="s">
        <v>18</v>
      </c>
      <c r="I100" s="74">
        <v>1058</v>
      </c>
      <c r="J100" s="17">
        <v>611</v>
      </c>
      <c r="K100" s="2">
        <f>'6 Вед15'!J139</f>
        <v>2860620</v>
      </c>
      <c r="L100" s="2">
        <f>'6 Вед15'!K139</f>
        <v>0</v>
      </c>
      <c r="M100" s="2"/>
      <c r="N100" s="2">
        <f t="shared" si="37"/>
        <v>0</v>
      </c>
      <c r="O100" s="2">
        <v>0</v>
      </c>
      <c r="P100" s="17"/>
      <c r="Q100" s="2">
        <f t="shared" si="34"/>
        <v>0</v>
      </c>
    </row>
    <row r="101" spans="1:17" ht="36.75" customHeight="1" x14ac:dyDescent="0.25">
      <c r="A101" s="583" t="s">
        <v>88</v>
      </c>
      <c r="B101" s="583"/>
      <c r="C101" s="492"/>
      <c r="D101" s="289">
        <v>51</v>
      </c>
      <c r="E101" s="289">
        <v>2</v>
      </c>
      <c r="F101" s="289">
        <v>851</v>
      </c>
      <c r="G101" s="1" t="s">
        <v>86</v>
      </c>
      <c r="H101" s="1" t="s">
        <v>18</v>
      </c>
      <c r="I101" s="74">
        <v>1421</v>
      </c>
      <c r="J101" s="1"/>
      <c r="K101" s="2">
        <f t="shared" ref="K101:O102" si="59">K102</f>
        <v>9540</v>
      </c>
      <c r="L101" s="2">
        <f t="shared" si="59"/>
        <v>9540</v>
      </c>
      <c r="M101" s="2"/>
      <c r="N101" s="2">
        <f t="shared" si="37"/>
        <v>9540</v>
      </c>
      <c r="O101" s="2">
        <f t="shared" si="59"/>
        <v>9540</v>
      </c>
      <c r="P101" s="17"/>
      <c r="Q101" s="2">
        <f t="shared" si="34"/>
        <v>9540</v>
      </c>
    </row>
    <row r="102" spans="1:17" ht="24" customHeight="1" x14ac:dyDescent="0.25">
      <c r="A102" s="492"/>
      <c r="B102" s="307" t="s">
        <v>95</v>
      </c>
      <c r="C102" s="492"/>
      <c r="D102" s="289">
        <v>51</v>
      </c>
      <c r="E102" s="289">
        <v>2</v>
      </c>
      <c r="F102" s="289">
        <v>851</v>
      </c>
      <c r="G102" s="1" t="s">
        <v>86</v>
      </c>
      <c r="H102" s="1" t="s">
        <v>18</v>
      </c>
      <c r="I102" s="74">
        <v>1421</v>
      </c>
      <c r="J102" s="1" t="s">
        <v>90</v>
      </c>
      <c r="K102" s="2">
        <f t="shared" si="59"/>
        <v>9540</v>
      </c>
      <c r="L102" s="2">
        <f t="shared" si="59"/>
        <v>9540</v>
      </c>
      <c r="M102" s="2"/>
      <c r="N102" s="2">
        <f t="shared" si="37"/>
        <v>9540</v>
      </c>
      <c r="O102" s="2">
        <f t="shared" si="59"/>
        <v>9540</v>
      </c>
      <c r="P102" s="17"/>
      <c r="Q102" s="2">
        <f t="shared" si="34"/>
        <v>9540</v>
      </c>
    </row>
    <row r="103" spans="1:17" ht="36" x14ac:dyDescent="0.25">
      <c r="A103" s="492"/>
      <c r="B103" s="492" t="s">
        <v>91</v>
      </c>
      <c r="C103" s="492"/>
      <c r="D103" s="289">
        <v>51</v>
      </c>
      <c r="E103" s="289">
        <v>2</v>
      </c>
      <c r="F103" s="289">
        <v>851</v>
      </c>
      <c r="G103" s="1" t="s">
        <v>86</v>
      </c>
      <c r="H103" s="1" t="s">
        <v>18</v>
      </c>
      <c r="I103" s="74">
        <v>1421</v>
      </c>
      <c r="J103" s="1" t="s">
        <v>92</v>
      </c>
      <c r="K103" s="2">
        <f>'6 Вед15'!J142</f>
        <v>9540</v>
      </c>
      <c r="L103" s="2">
        <v>9540</v>
      </c>
      <c r="M103" s="2"/>
      <c r="N103" s="2">
        <f t="shared" si="37"/>
        <v>9540</v>
      </c>
      <c r="O103" s="2">
        <v>9540</v>
      </c>
      <c r="P103" s="17"/>
      <c r="Q103" s="2">
        <f t="shared" si="34"/>
        <v>9540</v>
      </c>
    </row>
    <row r="104" spans="1:17" ht="27" customHeight="1" x14ac:dyDescent="0.25">
      <c r="A104" s="583" t="s">
        <v>98</v>
      </c>
      <c r="B104" s="583"/>
      <c r="C104" s="492"/>
      <c r="D104" s="289">
        <v>51</v>
      </c>
      <c r="E104" s="289">
        <v>2</v>
      </c>
      <c r="F104" s="289">
        <v>851</v>
      </c>
      <c r="G104" s="1" t="s">
        <v>86</v>
      </c>
      <c r="H104" s="1" t="s">
        <v>18</v>
      </c>
      <c r="I104" s="1" t="s">
        <v>346</v>
      </c>
      <c r="J104" s="1"/>
      <c r="K104" s="2">
        <f t="shared" ref="K104:O105" si="60">K105</f>
        <v>100000</v>
      </c>
      <c r="L104" s="2">
        <f t="shared" si="60"/>
        <v>100000</v>
      </c>
      <c r="M104" s="2"/>
      <c r="N104" s="2">
        <f t="shared" si="37"/>
        <v>100000</v>
      </c>
      <c r="O104" s="2">
        <f t="shared" si="60"/>
        <v>100000</v>
      </c>
      <c r="P104" s="17"/>
      <c r="Q104" s="2">
        <f t="shared" si="34"/>
        <v>100000</v>
      </c>
    </row>
    <row r="105" spans="1:17" ht="18" customHeight="1" x14ac:dyDescent="0.25">
      <c r="A105" s="17"/>
      <c r="B105" s="492" t="s">
        <v>28</v>
      </c>
      <c r="C105" s="497"/>
      <c r="D105" s="289">
        <v>51</v>
      </c>
      <c r="E105" s="289">
        <v>2</v>
      </c>
      <c r="F105" s="289">
        <v>851</v>
      </c>
      <c r="G105" s="1" t="s">
        <v>86</v>
      </c>
      <c r="H105" s="1" t="s">
        <v>18</v>
      </c>
      <c r="I105" s="1" t="s">
        <v>346</v>
      </c>
      <c r="J105" s="1" t="s">
        <v>29</v>
      </c>
      <c r="K105" s="2">
        <f t="shared" si="60"/>
        <v>100000</v>
      </c>
      <c r="L105" s="2">
        <f t="shared" si="60"/>
        <v>100000</v>
      </c>
      <c r="M105" s="2"/>
      <c r="N105" s="2">
        <f t="shared" si="37"/>
        <v>100000</v>
      </c>
      <c r="O105" s="2">
        <f t="shared" si="60"/>
        <v>100000</v>
      </c>
      <c r="P105" s="17"/>
      <c r="Q105" s="2">
        <f t="shared" si="34"/>
        <v>100000</v>
      </c>
    </row>
    <row r="106" spans="1:17" ht="25.5" customHeight="1" x14ac:dyDescent="0.25">
      <c r="A106" s="17"/>
      <c r="B106" s="492" t="s">
        <v>30</v>
      </c>
      <c r="C106" s="492"/>
      <c r="D106" s="289">
        <v>51</v>
      </c>
      <c r="E106" s="289">
        <v>2</v>
      </c>
      <c r="F106" s="289">
        <v>851</v>
      </c>
      <c r="G106" s="1" t="s">
        <v>86</v>
      </c>
      <c r="H106" s="1" t="s">
        <v>18</v>
      </c>
      <c r="I106" s="1" t="s">
        <v>346</v>
      </c>
      <c r="J106" s="1" t="s">
        <v>31</v>
      </c>
      <c r="K106" s="2">
        <f>'6 Вед15'!J145</f>
        <v>100000</v>
      </c>
      <c r="L106" s="2">
        <v>100000</v>
      </c>
      <c r="M106" s="2"/>
      <c r="N106" s="2">
        <f t="shared" si="37"/>
        <v>100000</v>
      </c>
      <c r="O106" s="2">
        <v>100000</v>
      </c>
      <c r="P106" s="17"/>
      <c r="Q106" s="2">
        <f t="shared" si="34"/>
        <v>100000</v>
      </c>
    </row>
    <row r="107" spans="1:17" ht="15" customHeight="1" x14ac:dyDescent="0.25">
      <c r="A107" s="583" t="s">
        <v>100</v>
      </c>
      <c r="B107" s="583"/>
      <c r="C107" s="492"/>
      <c r="D107" s="289">
        <v>51</v>
      </c>
      <c r="E107" s="289">
        <v>2</v>
      </c>
      <c r="F107" s="289">
        <v>851</v>
      </c>
      <c r="G107" s="1" t="s">
        <v>86</v>
      </c>
      <c r="H107" s="1" t="s">
        <v>18</v>
      </c>
      <c r="I107" s="1" t="s">
        <v>347</v>
      </c>
      <c r="J107" s="1"/>
      <c r="K107" s="2">
        <f>K108</f>
        <v>200000</v>
      </c>
      <c r="L107" s="2">
        <f t="shared" ref="L107:O107" si="61">L108</f>
        <v>200000</v>
      </c>
      <c r="M107" s="2"/>
      <c r="N107" s="2">
        <f t="shared" si="37"/>
        <v>200000</v>
      </c>
      <c r="O107" s="2">
        <f t="shared" si="61"/>
        <v>200000</v>
      </c>
      <c r="P107" s="17"/>
      <c r="Q107" s="2">
        <f t="shared" si="34"/>
        <v>200000</v>
      </c>
    </row>
    <row r="108" spans="1:17" ht="17.25" customHeight="1" x14ac:dyDescent="0.25">
      <c r="A108" s="17"/>
      <c r="B108" s="492" t="s">
        <v>28</v>
      </c>
      <c r="C108" s="497"/>
      <c r="D108" s="289">
        <v>51</v>
      </c>
      <c r="E108" s="289">
        <v>2</v>
      </c>
      <c r="F108" s="289">
        <v>851</v>
      </c>
      <c r="G108" s="1" t="s">
        <v>86</v>
      </c>
      <c r="H108" s="1" t="s">
        <v>18</v>
      </c>
      <c r="I108" s="1" t="s">
        <v>347</v>
      </c>
      <c r="J108" s="1" t="s">
        <v>29</v>
      </c>
      <c r="K108" s="2">
        <f t="shared" ref="K108:O108" si="62">K109</f>
        <v>200000</v>
      </c>
      <c r="L108" s="2">
        <f t="shared" si="62"/>
        <v>200000</v>
      </c>
      <c r="M108" s="2"/>
      <c r="N108" s="2">
        <f t="shared" si="37"/>
        <v>200000</v>
      </c>
      <c r="O108" s="2">
        <f t="shared" si="62"/>
        <v>200000</v>
      </c>
      <c r="P108" s="17"/>
      <c r="Q108" s="2">
        <f t="shared" si="34"/>
        <v>200000</v>
      </c>
    </row>
    <row r="109" spans="1:17" ht="27" customHeight="1" x14ac:dyDescent="0.25">
      <c r="A109" s="17"/>
      <c r="B109" s="492" t="s">
        <v>30</v>
      </c>
      <c r="C109" s="492"/>
      <c r="D109" s="289">
        <v>51</v>
      </c>
      <c r="E109" s="289">
        <v>2</v>
      </c>
      <c r="F109" s="289">
        <v>851</v>
      </c>
      <c r="G109" s="1" t="s">
        <v>86</v>
      </c>
      <c r="H109" s="1" t="s">
        <v>18</v>
      </c>
      <c r="I109" s="1" t="s">
        <v>347</v>
      </c>
      <c r="J109" s="1" t="s">
        <v>31</v>
      </c>
      <c r="K109" s="2">
        <f>'6 Вед15'!J148</f>
        <v>200000</v>
      </c>
      <c r="L109" s="2">
        <v>200000</v>
      </c>
      <c r="M109" s="2"/>
      <c r="N109" s="2">
        <f t="shared" si="37"/>
        <v>200000</v>
      </c>
      <c r="O109" s="2">
        <v>200000</v>
      </c>
      <c r="P109" s="17"/>
      <c r="Q109" s="2">
        <f t="shared" si="34"/>
        <v>200000</v>
      </c>
    </row>
    <row r="110" spans="1:17" s="15" customFormat="1" ht="24" customHeight="1" x14ac:dyDescent="0.25">
      <c r="A110" s="589" t="s">
        <v>663</v>
      </c>
      <c r="B110" s="589"/>
      <c r="C110" s="495"/>
      <c r="D110" s="18">
        <v>51</v>
      </c>
      <c r="E110" s="18">
        <v>3</v>
      </c>
      <c r="F110" s="18"/>
      <c r="G110" s="12"/>
      <c r="H110" s="22"/>
      <c r="I110" s="22"/>
      <c r="J110" s="12"/>
      <c r="K110" s="14">
        <f>K111</f>
        <v>15000</v>
      </c>
      <c r="L110" s="14">
        <f t="shared" ref="L110:O111" si="63">L111</f>
        <v>15000</v>
      </c>
      <c r="M110" s="14"/>
      <c r="N110" s="2">
        <f t="shared" si="37"/>
        <v>15000</v>
      </c>
      <c r="O110" s="14">
        <f t="shared" si="63"/>
        <v>15000</v>
      </c>
      <c r="P110" s="500"/>
      <c r="Q110" s="2">
        <f t="shared" si="34"/>
        <v>15000</v>
      </c>
    </row>
    <row r="111" spans="1:17" s="15" customFormat="1" x14ac:dyDescent="0.25">
      <c r="A111" s="589" t="s">
        <v>16</v>
      </c>
      <c r="B111" s="589"/>
      <c r="C111" s="495"/>
      <c r="D111" s="18">
        <v>51</v>
      </c>
      <c r="E111" s="18">
        <v>3</v>
      </c>
      <c r="F111" s="18">
        <v>851</v>
      </c>
      <c r="G111" s="12"/>
      <c r="H111" s="22"/>
      <c r="I111" s="22"/>
      <c r="J111" s="12"/>
      <c r="K111" s="14">
        <f>K112</f>
        <v>15000</v>
      </c>
      <c r="L111" s="14">
        <f t="shared" si="63"/>
        <v>15000</v>
      </c>
      <c r="M111" s="14"/>
      <c r="N111" s="2">
        <f t="shared" si="37"/>
        <v>15000</v>
      </c>
      <c r="O111" s="14">
        <f t="shared" si="63"/>
        <v>15000</v>
      </c>
      <c r="P111" s="500"/>
      <c r="Q111" s="2">
        <f t="shared" si="34"/>
        <v>15000</v>
      </c>
    </row>
    <row r="112" spans="1:17" ht="15" customHeight="1" x14ac:dyDescent="0.25">
      <c r="A112" s="583" t="s">
        <v>102</v>
      </c>
      <c r="B112" s="583"/>
      <c r="C112" s="492"/>
      <c r="D112" s="289">
        <v>51</v>
      </c>
      <c r="E112" s="289">
        <v>3</v>
      </c>
      <c r="F112" s="289">
        <v>851</v>
      </c>
      <c r="G112" s="1" t="s">
        <v>86</v>
      </c>
      <c r="H112" s="1" t="s">
        <v>7</v>
      </c>
      <c r="I112" s="1" t="s">
        <v>348</v>
      </c>
      <c r="J112" s="1"/>
      <c r="K112" s="2">
        <f t="shared" ref="K112:O113" si="64">K113</f>
        <v>15000</v>
      </c>
      <c r="L112" s="2">
        <f t="shared" si="64"/>
        <v>15000</v>
      </c>
      <c r="M112" s="2"/>
      <c r="N112" s="2">
        <f t="shared" si="37"/>
        <v>15000</v>
      </c>
      <c r="O112" s="2">
        <f t="shared" si="64"/>
        <v>15000</v>
      </c>
      <c r="P112" s="17"/>
      <c r="Q112" s="2">
        <f t="shared" si="34"/>
        <v>15000</v>
      </c>
    </row>
    <row r="113" spans="1:17" ht="15" customHeight="1" x14ac:dyDescent="0.25">
      <c r="A113" s="17"/>
      <c r="B113" s="492" t="s">
        <v>28</v>
      </c>
      <c r="C113" s="497"/>
      <c r="D113" s="289">
        <v>51</v>
      </c>
      <c r="E113" s="289">
        <v>3</v>
      </c>
      <c r="F113" s="289">
        <v>851</v>
      </c>
      <c r="G113" s="1" t="s">
        <v>86</v>
      </c>
      <c r="H113" s="1" t="s">
        <v>7</v>
      </c>
      <c r="I113" s="1" t="s">
        <v>348</v>
      </c>
      <c r="J113" s="1" t="s">
        <v>29</v>
      </c>
      <c r="K113" s="2">
        <f t="shared" si="64"/>
        <v>15000</v>
      </c>
      <c r="L113" s="2">
        <f t="shared" si="64"/>
        <v>15000</v>
      </c>
      <c r="M113" s="2"/>
      <c r="N113" s="2">
        <f t="shared" si="37"/>
        <v>15000</v>
      </c>
      <c r="O113" s="2">
        <f t="shared" si="64"/>
        <v>15000</v>
      </c>
      <c r="P113" s="17"/>
      <c r="Q113" s="2">
        <f t="shared" si="34"/>
        <v>15000</v>
      </c>
    </row>
    <row r="114" spans="1:17" ht="26.25" customHeight="1" x14ac:dyDescent="0.25">
      <c r="A114" s="17"/>
      <c r="B114" s="492" t="s">
        <v>30</v>
      </c>
      <c r="C114" s="492"/>
      <c r="D114" s="289">
        <v>51</v>
      </c>
      <c r="E114" s="289">
        <v>3</v>
      </c>
      <c r="F114" s="289">
        <v>851</v>
      </c>
      <c r="G114" s="1" t="s">
        <v>86</v>
      </c>
      <c r="H114" s="1" t="s">
        <v>7</v>
      </c>
      <c r="I114" s="1" t="s">
        <v>348</v>
      </c>
      <c r="J114" s="1" t="s">
        <v>31</v>
      </c>
      <c r="K114" s="2">
        <f>'6 Вед15'!J152</f>
        <v>15000</v>
      </c>
      <c r="L114" s="2">
        <v>15000</v>
      </c>
      <c r="M114" s="2"/>
      <c r="N114" s="2">
        <f t="shared" si="37"/>
        <v>15000</v>
      </c>
      <c r="O114" s="2">
        <v>15000</v>
      </c>
      <c r="P114" s="17"/>
      <c r="Q114" s="2">
        <f t="shared" si="34"/>
        <v>15000</v>
      </c>
    </row>
    <row r="115" spans="1:17" s="15" customFormat="1" ht="22.5" customHeight="1" x14ac:dyDescent="0.25">
      <c r="A115" s="589" t="s">
        <v>664</v>
      </c>
      <c r="B115" s="589"/>
      <c r="C115" s="495"/>
      <c r="D115" s="18">
        <v>51</v>
      </c>
      <c r="E115" s="18">
        <v>4</v>
      </c>
      <c r="F115" s="18"/>
      <c r="G115" s="12"/>
      <c r="H115" s="22"/>
      <c r="I115" s="22"/>
      <c r="J115" s="12"/>
      <c r="K115" s="14">
        <f>K116</f>
        <v>544000</v>
      </c>
      <c r="L115" s="14">
        <f t="shared" ref="L115:O115" si="65">L116</f>
        <v>260000</v>
      </c>
      <c r="M115" s="14"/>
      <c r="N115" s="2">
        <f t="shared" si="37"/>
        <v>260000</v>
      </c>
      <c r="O115" s="14">
        <f t="shared" si="65"/>
        <v>260000</v>
      </c>
      <c r="P115" s="500"/>
      <c r="Q115" s="2">
        <f t="shared" si="34"/>
        <v>260000</v>
      </c>
    </row>
    <row r="116" spans="1:17" s="15" customFormat="1" x14ac:dyDescent="0.25">
      <c r="A116" s="589" t="s">
        <v>16</v>
      </c>
      <c r="B116" s="589"/>
      <c r="C116" s="495"/>
      <c r="D116" s="18">
        <v>51</v>
      </c>
      <c r="E116" s="18">
        <v>4</v>
      </c>
      <c r="F116" s="18">
        <v>851</v>
      </c>
      <c r="G116" s="12"/>
      <c r="H116" s="22"/>
      <c r="I116" s="22"/>
      <c r="J116" s="12"/>
      <c r="K116" s="14">
        <f>K117+K120</f>
        <v>544000</v>
      </c>
      <c r="L116" s="14">
        <f t="shared" ref="L116:O116" si="66">L117+L120</f>
        <v>260000</v>
      </c>
      <c r="M116" s="14"/>
      <c r="N116" s="2">
        <f t="shared" si="37"/>
        <v>260000</v>
      </c>
      <c r="O116" s="14">
        <f t="shared" si="66"/>
        <v>260000</v>
      </c>
      <c r="P116" s="500"/>
      <c r="Q116" s="2">
        <f t="shared" ref="Q116:Q179" si="67">O116+P116</f>
        <v>260000</v>
      </c>
    </row>
    <row r="117" spans="1:17" s="27" customFormat="1" x14ac:dyDescent="0.25">
      <c r="A117" s="583" t="s">
        <v>120</v>
      </c>
      <c r="B117" s="583"/>
      <c r="C117" s="492"/>
      <c r="D117" s="289">
        <v>51</v>
      </c>
      <c r="E117" s="289">
        <v>4</v>
      </c>
      <c r="F117" s="289">
        <v>851</v>
      </c>
      <c r="G117" s="1" t="s">
        <v>39</v>
      </c>
      <c r="H117" s="1" t="s">
        <v>74</v>
      </c>
      <c r="I117" s="1" t="s">
        <v>352</v>
      </c>
      <c r="J117" s="1"/>
      <c r="K117" s="2">
        <f t="shared" ref="K117:O118" si="68">K118</f>
        <v>260000</v>
      </c>
      <c r="L117" s="2">
        <f t="shared" si="68"/>
        <v>260000</v>
      </c>
      <c r="M117" s="2"/>
      <c r="N117" s="2">
        <f t="shared" si="37"/>
        <v>260000</v>
      </c>
      <c r="O117" s="2">
        <f t="shared" si="68"/>
        <v>260000</v>
      </c>
      <c r="P117" s="447"/>
      <c r="Q117" s="2">
        <f t="shared" si="67"/>
        <v>260000</v>
      </c>
    </row>
    <row r="118" spans="1:17" ht="15.75" customHeight="1" x14ac:dyDescent="0.25">
      <c r="A118" s="17"/>
      <c r="B118" s="492" t="s">
        <v>28</v>
      </c>
      <c r="C118" s="497"/>
      <c r="D118" s="289">
        <v>51</v>
      </c>
      <c r="E118" s="289">
        <v>4</v>
      </c>
      <c r="F118" s="289">
        <v>851</v>
      </c>
      <c r="G118" s="1" t="s">
        <v>39</v>
      </c>
      <c r="H118" s="1" t="s">
        <v>74</v>
      </c>
      <c r="I118" s="1" t="s">
        <v>352</v>
      </c>
      <c r="J118" s="1" t="s">
        <v>29</v>
      </c>
      <c r="K118" s="2">
        <f t="shared" si="68"/>
        <v>260000</v>
      </c>
      <c r="L118" s="2">
        <f t="shared" si="68"/>
        <v>260000</v>
      </c>
      <c r="M118" s="2"/>
      <c r="N118" s="2">
        <f t="shared" si="37"/>
        <v>260000</v>
      </c>
      <c r="O118" s="2">
        <f t="shared" si="68"/>
        <v>260000</v>
      </c>
      <c r="P118" s="17"/>
      <c r="Q118" s="2">
        <f t="shared" si="67"/>
        <v>260000</v>
      </c>
    </row>
    <row r="119" spans="1:17" ht="25.5" customHeight="1" x14ac:dyDescent="0.25">
      <c r="A119" s="17"/>
      <c r="B119" s="492" t="s">
        <v>30</v>
      </c>
      <c r="C119" s="492"/>
      <c r="D119" s="289">
        <v>51</v>
      </c>
      <c r="E119" s="289">
        <v>4</v>
      </c>
      <c r="F119" s="289">
        <v>851</v>
      </c>
      <c r="G119" s="1" t="s">
        <v>39</v>
      </c>
      <c r="H119" s="1" t="s">
        <v>74</v>
      </c>
      <c r="I119" s="1" t="s">
        <v>352</v>
      </c>
      <c r="J119" s="1" t="s">
        <v>31</v>
      </c>
      <c r="K119" s="2">
        <f>'6 Вед15'!J176</f>
        <v>260000</v>
      </c>
      <c r="L119" s="2">
        <v>260000</v>
      </c>
      <c r="M119" s="2"/>
      <c r="N119" s="2">
        <f t="shared" si="37"/>
        <v>260000</v>
      </c>
      <c r="O119" s="2">
        <v>260000</v>
      </c>
      <c r="P119" s="17"/>
      <c r="Q119" s="2">
        <f t="shared" si="67"/>
        <v>260000</v>
      </c>
    </row>
    <row r="120" spans="1:17" ht="36.75" hidden="1" customHeight="1" x14ac:dyDescent="0.25">
      <c r="A120" s="583" t="s">
        <v>610</v>
      </c>
      <c r="B120" s="583"/>
      <c r="C120" s="500"/>
      <c r="D120" s="74">
        <v>51</v>
      </c>
      <c r="E120" s="289">
        <v>4</v>
      </c>
      <c r="F120" s="289">
        <v>851</v>
      </c>
      <c r="G120" s="1" t="s">
        <v>39</v>
      </c>
      <c r="H120" s="1" t="s">
        <v>74</v>
      </c>
      <c r="I120" s="1" t="s">
        <v>619</v>
      </c>
      <c r="J120" s="1"/>
      <c r="K120" s="2">
        <f t="shared" ref="K120:O121" si="69">K121</f>
        <v>284000</v>
      </c>
      <c r="L120" s="2">
        <f t="shared" si="69"/>
        <v>0</v>
      </c>
      <c r="M120" s="2"/>
      <c r="N120" s="2">
        <f t="shared" si="37"/>
        <v>0</v>
      </c>
      <c r="O120" s="2">
        <f t="shared" si="69"/>
        <v>0</v>
      </c>
      <c r="P120" s="17"/>
      <c r="Q120" s="2">
        <f t="shared" si="67"/>
        <v>0</v>
      </c>
    </row>
    <row r="121" spans="1:17" ht="16.5" hidden="1" customHeight="1" x14ac:dyDescent="0.25">
      <c r="A121" s="17"/>
      <c r="B121" s="492" t="s">
        <v>28</v>
      </c>
      <c r="C121" s="500"/>
      <c r="D121" s="74">
        <v>51</v>
      </c>
      <c r="E121" s="289">
        <v>4</v>
      </c>
      <c r="F121" s="289">
        <v>851</v>
      </c>
      <c r="G121" s="1" t="s">
        <v>39</v>
      </c>
      <c r="H121" s="1" t="s">
        <v>74</v>
      </c>
      <c r="I121" s="1" t="s">
        <v>619</v>
      </c>
      <c r="J121" s="1" t="s">
        <v>29</v>
      </c>
      <c r="K121" s="2">
        <f t="shared" si="69"/>
        <v>284000</v>
      </c>
      <c r="L121" s="2">
        <f t="shared" si="69"/>
        <v>0</v>
      </c>
      <c r="M121" s="2"/>
      <c r="N121" s="2">
        <f t="shared" ref="N121:N184" si="70">L121+M121</f>
        <v>0</v>
      </c>
      <c r="O121" s="2">
        <f t="shared" si="69"/>
        <v>0</v>
      </c>
      <c r="P121" s="17"/>
      <c r="Q121" s="2">
        <f t="shared" si="67"/>
        <v>0</v>
      </c>
    </row>
    <row r="122" spans="1:17" ht="24" hidden="1" x14ac:dyDescent="0.25">
      <c r="A122" s="17"/>
      <c r="B122" s="492" t="s">
        <v>30</v>
      </c>
      <c r="C122" s="500"/>
      <c r="D122" s="74">
        <v>51</v>
      </c>
      <c r="E122" s="289">
        <v>4</v>
      </c>
      <c r="F122" s="289">
        <v>851</v>
      </c>
      <c r="G122" s="1" t="s">
        <v>39</v>
      </c>
      <c r="H122" s="1" t="s">
        <v>74</v>
      </c>
      <c r="I122" s="1" t="s">
        <v>619</v>
      </c>
      <c r="J122" s="1" t="s">
        <v>31</v>
      </c>
      <c r="K122" s="2">
        <f>'6 Вед15'!J179</f>
        <v>284000</v>
      </c>
      <c r="L122" s="2"/>
      <c r="M122" s="2"/>
      <c r="N122" s="2"/>
      <c r="O122" s="2"/>
      <c r="P122" s="17"/>
      <c r="Q122" s="2">
        <f t="shared" si="67"/>
        <v>0</v>
      </c>
    </row>
    <row r="123" spans="1:17" s="15" customFormat="1" ht="14.25" customHeight="1" x14ac:dyDescent="0.25">
      <c r="A123" s="589" t="s">
        <v>665</v>
      </c>
      <c r="B123" s="589"/>
      <c r="C123" s="495"/>
      <c r="D123" s="18">
        <v>51</v>
      </c>
      <c r="E123" s="18">
        <v>5</v>
      </c>
      <c r="F123" s="18"/>
      <c r="G123" s="12"/>
      <c r="H123" s="22"/>
      <c r="I123" s="22"/>
      <c r="J123" s="12"/>
      <c r="K123" s="14">
        <f>K124</f>
        <v>10868575</v>
      </c>
      <c r="L123" s="14">
        <f t="shared" ref="L123:O123" si="71">L124</f>
        <v>10678800</v>
      </c>
      <c r="M123" s="14"/>
      <c r="N123" s="2">
        <f t="shared" si="70"/>
        <v>10678800</v>
      </c>
      <c r="O123" s="14">
        <f t="shared" si="71"/>
        <v>10678800</v>
      </c>
      <c r="P123" s="500"/>
      <c r="Q123" s="2">
        <f t="shared" si="67"/>
        <v>10678800</v>
      </c>
    </row>
    <row r="124" spans="1:17" s="15" customFormat="1" x14ac:dyDescent="0.25">
      <c r="A124" s="589" t="s">
        <v>16</v>
      </c>
      <c r="B124" s="589"/>
      <c r="C124" s="495"/>
      <c r="D124" s="18">
        <v>51</v>
      </c>
      <c r="E124" s="18">
        <v>5</v>
      </c>
      <c r="F124" s="18">
        <v>851</v>
      </c>
      <c r="G124" s="12"/>
      <c r="H124" s="22"/>
      <c r="I124" s="22"/>
      <c r="J124" s="12"/>
      <c r="K124" s="14">
        <f>K125+K128+K133</f>
        <v>10868575</v>
      </c>
      <c r="L124" s="14">
        <f t="shared" ref="L124:O124" si="72">L125+L128+L133</f>
        <v>10678800</v>
      </c>
      <c r="M124" s="14"/>
      <c r="N124" s="2">
        <f t="shared" si="70"/>
        <v>10678800</v>
      </c>
      <c r="O124" s="14">
        <f t="shared" si="72"/>
        <v>10678800</v>
      </c>
      <c r="P124" s="500"/>
      <c r="Q124" s="2">
        <f t="shared" si="67"/>
        <v>10678800</v>
      </c>
    </row>
    <row r="125" spans="1:17" ht="37.5" customHeight="1" x14ac:dyDescent="0.25">
      <c r="A125" s="583" t="s">
        <v>106</v>
      </c>
      <c r="B125" s="583"/>
      <c r="C125" s="492"/>
      <c r="D125" s="289">
        <v>51</v>
      </c>
      <c r="E125" s="289">
        <v>5</v>
      </c>
      <c r="F125" s="289">
        <v>851</v>
      </c>
      <c r="G125" s="1" t="s">
        <v>0</v>
      </c>
      <c r="H125" s="1" t="s">
        <v>18</v>
      </c>
      <c r="I125" s="1" t="s">
        <v>349</v>
      </c>
      <c r="J125" s="1"/>
      <c r="K125" s="2">
        <f t="shared" ref="K125:O126" si="73">K126</f>
        <v>2587000</v>
      </c>
      <c r="L125" s="2">
        <f t="shared" si="73"/>
        <v>2587000</v>
      </c>
      <c r="M125" s="2"/>
      <c r="N125" s="2">
        <f t="shared" si="70"/>
        <v>2587000</v>
      </c>
      <c r="O125" s="2">
        <f t="shared" si="73"/>
        <v>2587000</v>
      </c>
      <c r="P125" s="17"/>
      <c r="Q125" s="2">
        <f t="shared" si="67"/>
        <v>2587000</v>
      </c>
    </row>
    <row r="126" spans="1:17" ht="12.75" customHeight="1" x14ac:dyDescent="0.25">
      <c r="A126" s="315"/>
      <c r="B126" s="497" t="s">
        <v>108</v>
      </c>
      <c r="C126" s="497"/>
      <c r="D126" s="289">
        <v>51</v>
      </c>
      <c r="E126" s="289">
        <v>5</v>
      </c>
      <c r="F126" s="289">
        <v>851</v>
      </c>
      <c r="G126" s="1" t="s">
        <v>0</v>
      </c>
      <c r="H126" s="1" t="s">
        <v>18</v>
      </c>
      <c r="I126" s="1" t="s">
        <v>349</v>
      </c>
      <c r="J126" s="1" t="s">
        <v>109</v>
      </c>
      <c r="K126" s="2">
        <f t="shared" si="73"/>
        <v>2587000</v>
      </c>
      <c r="L126" s="2">
        <f t="shared" si="73"/>
        <v>2587000</v>
      </c>
      <c r="M126" s="2"/>
      <c r="N126" s="2">
        <f t="shared" si="70"/>
        <v>2587000</v>
      </c>
      <c r="O126" s="2">
        <f t="shared" si="73"/>
        <v>2587000</v>
      </c>
      <c r="P126" s="17"/>
      <c r="Q126" s="2">
        <f t="shared" si="67"/>
        <v>2587000</v>
      </c>
    </row>
    <row r="127" spans="1:17" ht="24.75" customHeight="1" x14ac:dyDescent="0.25">
      <c r="A127" s="315"/>
      <c r="B127" s="497" t="s">
        <v>146</v>
      </c>
      <c r="C127" s="497"/>
      <c r="D127" s="289">
        <v>51</v>
      </c>
      <c r="E127" s="289">
        <v>5</v>
      </c>
      <c r="F127" s="289">
        <v>851</v>
      </c>
      <c r="G127" s="1" t="s">
        <v>0</v>
      </c>
      <c r="H127" s="1" t="s">
        <v>18</v>
      </c>
      <c r="I127" s="1" t="s">
        <v>349</v>
      </c>
      <c r="J127" s="1" t="s">
        <v>110</v>
      </c>
      <c r="K127" s="2">
        <f>'6 Вед15'!J157</f>
        <v>2587000</v>
      </c>
      <c r="L127" s="2">
        <v>2587000</v>
      </c>
      <c r="M127" s="2"/>
      <c r="N127" s="2">
        <f t="shared" si="70"/>
        <v>2587000</v>
      </c>
      <c r="O127" s="2">
        <v>2587000</v>
      </c>
      <c r="P127" s="17"/>
      <c r="Q127" s="2">
        <f t="shared" si="67"/>
        <v>2587000</v>
      </c>
    </row>
    <row r="128" spans="1:17" ht="16.5" customHeight="1" x14ac:dyDescent="0.25">
      <c r="A128" s="583" t="s">
        <v>117</v>
      </c>
      <c r="B128" s="583"/>
      <c r="C128" s="492"/>
      <c r="D128" s="289">
        <v>51</v>
      </c>
      <c r="E128" s="289">
        <v>5</v>
      </c>
      <c r="F128" s="289">
        <v>851</v>
      </c>
      <c r="G128" s="1" t="s">
        <v>0</v>
      </c>
      <c r="H128" s="1" t="s">
        <v>1</v>
      </c>
      <c r="I128" s="1" t="s">
        <v>351</v>
      </c>
      <c r="J128" s="1"/>
      <c r="K128" s="2">
        <f t="shared" ref="K128:O128" si="74">K129+K131</f>
        <v>270000</v>
      </c>
      <c r="L128" s="2">
        <f t="shared" si="74"/>
        <v>270000</v>
      </c>
      <c r="M128" s="2"/>
      <c r="N128" s="2">
        <f t="shared" si="70"/>
        <v>270000</v>
      </c>
      <c r="O128" s="2">
        <f t="shared" si="74"/>
        <v>270000</v>
      </c>
      <c r="P128" s="17"/>
      <c r="Q128" s="2">
        <f t="shared" si="67"/>
        <v>270000</v>
      </c>
    </row>
    <row r="129" spans="1:17" ht="15" customHeight="1" x14ac:dyDescent="0.25">
      <c r="A129" s="17"/>
      <c r="B129" s="492" t="s">
        <v>28</v>
      </c>
      <c r="C129" s="497"/>
      <c r="D129" s="289">
        <v>51</v>
      </c>
      <c r="E129" s="289">
        <v>5</v>
      </c>
      <c r="F129" s="289">
        <v>851</v>
      </c>
      <c r="G129" s="20" t="s">
        <v>0</v>
      </c>
      <c r="H129" s="1" t="s">
        <v>1</v>
      </c>
      <c r="I129" s="1" t="s">
        <v>351</v>
      </c>
      <c r="J129" s="1" t="s">
        <v>29</v>
      </c>
      <c r="K129" s="2">
        <f t="shared" ref="K129:O129" si="75">K130</f>
        <v>90000</v>
      </c>
      <c r="L129" s="2">
        <f t="shared" si="75"/>
        <v>90000</v>
      </c>
      <c r="M129" s="2"/>
      <c r="N129" s="2">
        <f t="shared" si="70"/>
        <v>90000</v>
      </c>
      <c r="O129" s="2">
        <f t="shared" si="75"/>
        <v>90000</v>
      </c>
      <c r="P129" s="17"/>
      <c r="Q129" s="2">
        <f t="shared" si="67"/>
        <v>90000</v>
      </c>
    </row>
    <row r="130" spans="1:17" ht="27" customHeight="1" x14ac:dyDescent="0.25">
      <c r="A130" s="17"/>
      <c r="B130" s="492" t="s">
        <v>30</v>
      </c>
      <c r="C130" s="492"/>
      <c r="D130" s="289">
        <v>51</v>
      </c>
      <c r="E130" s="289">
        <v>5</v>
      </c>
      <c r="F130" s="289">
        <v>851</v>
      </c>
      <c r="G130" s="20" t="s">
        <v>0</v>
      </c>
      <c r="H130" s="1" t="s">
        <v>1</v>
      </c>
      <c r="I130" s="1" t="s">
        <v>351</v>
      </c>
      <c r="J130" s="1" t="s">
        <v>31</v>
      </c>
      <c r="K130" s="2">
        <f>'6 Вед15'!J169</f>
        <v>90000</v>
      </c>
      <c r="L130" s="2">
        <v>90000</v>
      </c>
      <c r="M130" s="2"/>
      <c r="N130" s="2">
        <f t="shared" si="70"/>
        <v>90000</v>
      </c>
      <c r="O130" s="2">
        <v>90000</v>
      </c>
      <c r="P130" s="17"/>
      <c r="Q130" s="2">
        <f t="shared" si="67"/>
        <v>90000</v>
      </c>
    </row>
    <row r="131" spans="1:17" x14ac:dyDescent="0.25">
      <c r="A131" s="315"/>
      <c r="B131" s="497" t="s">
        <v>108</v>
      </c>
      <c r="C131" s="497"/>
      <c r="D131" s="289">
        <v>51</v>
      </c>
      <c r="E131" s="289">
        <v>5</v>
      </c>
      <c r="F131" s="289">
        <v>851</v>
      </c>
      <c r="G131" s="1" t="s">
        <v>0</v>
      </c>
      <c r="H131" s="1" t="s">
        <v>1</v>
      </c>
      <c r="I131" s="1" t="s">
        <v>351</v>
      </c>
      <c r="J131" s="1" t="s">
        <v>109</v>
      </c>
      <c r="K131" s="2">
        <f>K132</f>
        <v>180000</v>
      </c>
      <c r="L131" s="2">
        <f t="shared" ref="L131:O131" si="76">L132</f>
        <v>180000</v>
      </c>
      <c r="M131" s="2"/>
      <c r="N131" s="2">
        <f t="shared" si="70"/>
        <v>180000</v>
      </c>
      <c r="O131" s="2">
        <f t="shared" si="76"/>
        <v>180000</v>
      </c>
      <c r="P131" s="17"/>
      <c r="Q131" s="2">
        <f t="shared" si="67"/>
        <v>180000</v>
      </c>
    </row>
    <row r="132" spans="1:17" ht="24" x14ac:dyDescent="0.25">
      <c r="A132" s="315"/>
      <c r="B132" s="497" t="s">
        <v>379</v>
      </c>
      <c r="C132" s="497"/>
      <c r="D132" s="289">
        <v>51</v>
      </c>
      <c r="E132" s="289">
        <v>5</v>
      </c>
      <c r="F132" s="289">
        <v>851</v>
      </c>
      <c r="G132" s="1" t="s">
        <v>0</v>
      </c>
      <c r="H132" s="1" t="s">
        <v>1</v>
      </c>
      <c r="I132" s="1" t="s">
        <v>351</v>
      </c>
      <c r="J132" s="1" t="s">
        <v>9</v>
      </c>
      <c r="K132" s="2">
        <f>'6 Вед15'!J171</f>
        <v>180000</v>
      </c>
      <c r="L132" s="2">
        <v>180000</v>
      </c>
      <c r="M132" s="2"/>
      <c r="N132" s="2">
        <f t="shared" si="70"/>
        <v>180000</v>
      </c>
      <c r="O132" s="2">
        <v>180000</v>
      </c>
      <c r="P132" s="17"/>
      <c r="Q132" s="2">
        <f t="shared" si="67"/>
        <v>180000</v>
      </c>
    </row>
    <row r="133" spans="1:17" s="26" customFormat="1" ht="38.25" customHeight="1" x14ac:dyDescent="0.25">
      <c r="A133" s="583" t="s">
        <v>598</v>
      </c>
      <c r="B133" s="583"/>
      <c r="C133" s="492"/>
      <c r="D133" s="289">
        <v>51</v>
      </c>
      <c r="E133" s="289">
        <v>5</v>
      </c>
      <c r="F133" s="289">
        <v>851</v>
      </c>
      <c r="G133" s="20" t="s">
        <v>0</v>
      </c>
      <c r="H133" s="20" t="s">
        <v>7</v>
      </c>
      <c r="I133" s="20" t="s">
        <v>350</v>
      </c>
      <c r="J133" s="20"/>
      <c r="K133" s="24">
        <f t="shared" ref="K133:O134" si="77">K134</f>
        <v>8011575</v>
      </c>
      <c r="L133" s="24">
        <f t="shared" si="77"/>
        <v>7821800</v>
      </c>
      <c r="M133" s="24"/>
      <c r="N133" s="2">
        <f t="shared" si="70"/>
        <v>7821800</v>
      </c>
      <c r="O133" s="24">
        <f t="shared" si="77"/>
        <v>7821800</v>
      </c>
      <c r="P133" s="497"/>
      <c r="Q133" s="2">
        <f t="shared" si="67"/>
        <v>7821800</v>
      </c>
    </row>
    <row r="134" spans="1:17" ht="13.5" customHeight="1" x14ac:dyDescent="0.25">
      <c r="A134" s="17"/>
      <c r="B134" s="497" t="s">
        <v>108</v>
      </c>
      <c r="C134" s="492"/>
      <c r="D134" s="289">
        <v>51</v>
      </c>
      <c r="E134" s="289">
        <v>5</v>
      </c>
      <c r="F134" s="289">
        <v>851</v>
      </c>
      <c r="G134" s="20" t="s">
        <v>0</v>
      </c>
      <c r="H134" s="20" t="s">
        <v>7</v>
      </c>
      <c r="I134" s="20" t="s">
        <v>350</v>
      </c>
      <c r="J134" s="1" t="s">
        <v>109</v>
      </c>
      <c r="K134" s="2">
        <f t="shared" si="77"/>
        <v>8011575</v>
      </c>
      <c r="L134" s="2">
        <f t="shared" si="77"/>
        <v>7821800</v>
      </c>
      <c r="M134" s="2"/>
      <c r="N134" s="2">
        <f t="shared" si="70"/>
        <v>7821800</v>
      </c>
      <c r="O134" s="2">
        <f t="shared" si="77"/>
        <v>7821800</v>
      </c>
      <c r="P134" s="17"/>
      <c r="Q134" s="2">
        <f t="shared" si="67"/>
        <v>7821800</v>
      </c>
    </row>
    <row r="135" spans="1:17" s="26" customFormat="1" ht="24.75" customHeight="1" x14ac:dyDescent="0.25">
      <c r="A135" s="492"/>
      <c r="B135" s="492" t="s">
        <v>114</v>
      </c>
      <c r="C135" s="492"/>
      <c r="D135" s="289">
        <v>51</v>
      </c>
      <c r="E135" s="289">
        <v>5</v>
      </c>
      <c r="F135" s="289">
        <v>851</v>
      </c>
      <c r="G135" s="20" t="s">
        <v>0</v>
      </c>
      <c r="H135" s="20" t="s">
        <v>7</v>
      </c>
      <c r="I135" s="20" t="s">
        <v>350</v>
      </c>
      <c r="J135" s="20" t="s">
        <v>115</v>
      </c>
      <c r="K135" s="24">
        <f>'6 Вед15'!J165</f>
        <v>8011575</v>
      </c>
      <c r="L135" s="24">
        <v>7821800</v>
      </c>
      <c r="M135" s="24"/>
      <c r="N135" s="2">
        <f t="shared" si="70"/>
        <v>7821800</v>
      </c>
      <c r="O135" s="24">
        <v>7821800</v>
      </c>
      <c r="P135" s="497"/>
      <c r="Q135" s="2">
        <f t="shared" si="67"/>
        <v>7821800</v>
      </c>
    </row>
    <row r="136" spans="1:17" s="15" customFormat="1" ht="22.5" customHeight="1" x14ac:dyDescent="0.25">
      <c r="A136" s="589" t="s">
        <v>666</v>
      </c>
      <c r="B136" s="589"/>
      <c r="C136" s="495"/>
      <c r="D136" s="18">
        <v>51</v>
      </c>
      <c r="E136" s="18">
        <v>6</v>
      </c>
      <c r="F136" s="18"/>
      <c r="G136" s="12"/>
      <c r="H136" s="22"/>
      <c r="I136" s="22"/>
      <c r="J136" s="12"/>
      <c r="K136" s="14">
        <f>K137</f>
        <v>582660</v>
      </c>
      <c r="L136" s="14">
        <f t="shared" ref="L136:O138" si="78">L137</f>
        <v>582660</v>
      </c>
      <c r="M136" s="14"/>
      <c r="N136" s="2">
        <f t="shared" si="70"/>
        <v>582660</v>
      </c>
      <c r="O136" s="14">
        <f t="shared" si="78"/>
        <v>582660</v>
      </c>
      <c r="P136" s="500"/>
      <c r="Q136" s="2">
        <f t="shared" si="67"/>
        <v>582660</v>
      </c>
    </row>
    <row r="137" spans="1:17" s="15" customFormat="1" x14ac:dyDescent="0.25">
      <c r="A137" s="589" t="s">
        <v>16</v>
      </c>
      <c r="B137" s="589"/>
      <c r="C137" s="495"/>
      <c r="D137" s="18">
        <v>51</v>
      </c>
      <c r="E137" s="18">
        <v>6</v>
      </c>
      <c r="F137" s="18">
        <v>851</v>
      </c>
      <c r="G137" s="12"/>
      <c r="H137" s="22"/>
      <c r="I137" s="22"/>
      <c r="J137" s="12"/>
      <c r="K137" s="14">
        <f>K138</f>
        <v>582660</v>
      </c>
      <c r="L137" s="14">
        <f t="shared" si="78"/>
        <v>582660</v>
      </c>
      <c r="M137" s="14"/>
      <c r="N137" s="2">
        <f t="shared" si="70"/>
        <v>582660</v>
      </c>
      <c r="O137" s="14">
        <f t="shared" si="78"/>
        <v>582660</v>
      </c>
      <c r="P137" s="500"/>
      <c r="Q137" s="2">
        <f t="shared" si="67"/>
        <v>582660</v>
      </c>
    </row>
    <row r="138" spans="1:17" ht="24.75" customHeight="1" x14ac:dyDescent="0.25">
      <c r="A138" s="591" t="s">
        <v>150</v>
      </c>
      <c r="B138" s="591"/>
      <c r="C138" s="497"/>
      <c r="D138" s="289">
        <v>51</v>
      </c>
      <c r="E138" s="289">
        <v>6</v>
      </c>
      <c r="F138" s="74">
        <v>851</v>
      </c>
      <c r="G138" s="1" t="s">
        <v>0</v>
      </c>
      <c r="H138" s="1" t="s">
        <v>4</v>
      </c>
      <c r="I138" s="74">
        <v>2226</v>
      </c>
      <c r="J138" s="1"/>
      <c r="K138" s="2">
        <f>K139</f>
        <v>582660</v>
      </c>
      <c r="L138" s="2">
        <f t="shared" si="78"/>
        <v>582660</v>
      </c>
      <c r="M138" s="2"/>
      <c r="N138" s="2">
        <f t="shared" si="70"/>
        <v>582660</v>
      </c>
      <c r="O138" s="2">
        <f t="shared" si="78"/>
        <v>582660</v>
      </c>
      <c r="P138" s="17"/>
      <c r="Q138" s="2">
        <f t="shared" si="67"/>
        <v>582660</v>
      </c>
    </row>
    <row r="139" spans="1:17" x14ac:dyDescent="0.25">
      <c r="A139" s="315"/>
      <c r="B139" s="497" t="s">
        <v>108</v>
      </c>
      <c r="C139" s="497"/>
      <c r="D139" s="289">
        <v>51</v>
      </c>
      <c r="E139" s="289">
        <v>6</v>
      </c>
      <c r="F139" s="74">
        <v>851</v>
      </c>
      <c r="G139" s="1" t="s">
        <v>0</v>
      </c>
      <c r="H139" s="1" t="s">
        <v>4</v>
      </c>
      <c r="I139" s="74">
        <v>2226</v>
      </c>
      <c r="J139" s="1" t="s">
        <v>109</v>
      </c>
      <c r="K139" s="2">
        <f t="shared" ref="K139:O139" si="79">K140</f>
        <v>582660</v>
      </c>
      <c r="L139" s="2">
        <f t="shared" si="79"/>
        <v>582660</v>
      </c>
      <c r="M139" s="2"/>
      <c r="N139" s="2">
        <f t="shared" si="70"/>
        <v>582660</v>
      </c>
      <c r="O139" s="2">
        <f t="shared" si="79"/>
        <v>582660</v>
      </c>
      <c r="P139" s="17"/>
      <c r="Q139" s="2">
        <f t="shared" si="67"/>
        <v>582660</v>
      </c>
    </row>
    <row r="140" spans="1:17" x14ac:dyDescent="0.25">
      <c r="A140" s="315"/>
      <c r="B140" s="497" t="s">
        <v>152</v>
      </c>
      <c r="C140" s="497"/>
      <c r="D140" s="289">
        <v>51</v>
      </c>
      <c r="E140" s="289">
        <v>6</v>
      </c>
      <c r="F140" s="74">
        <v>851</v>
      </c>
      <c r="G140" s="1" t="s">
        <v>0</v>
      </c>
      <c r="H140" s="1" t="s">
        <v>4</v>
      </c>
      <c r="I140" s="74">
        <v>2226</v>
      </c>
      <c r="J140" s="1" t="s">
        <v>153</v>
      </c>
      <c r="K140" s="2">
        <f>'6 Вед15'!J161</f>
        <v>582660</v>
      </c>
      <c r="L140" s="2">
        <v>582660</v>
      </c>
      <c r="M140" s="2"/>
      <c r="N140" s="2">
        <f t="shared" si="70"/>
        <v>582660</v>
      </c>
      <c r="O140" s="2">
        <v>582660</v>
      </c>
      <c r="P140" s="17"/>
      <c r="Q140" s="2">
        <f t="shared" si="67"/>
        <v>582660</v>
      </c>
    </row>
    <row r="141" spans="1:17" s="15" customFormat="1" ht="23.25" customHeight="1" x14ac:dyDescent="0.25">
      <c r="A141" s="589" t="s">
        <v>667</v>
      </c>
      <c r="B141" s="589"/>
      <c r="C141" s="495"/>
      <c r="D141" s="18">
        <v>51</v>
      </c>
      <c r="E141" s="18">
        <v>7</v>
      </c>
      <c r="F141" s="18"/>
      <c r="G141" s="12"/>
      <c r="H141" s="22"/>
      <c r="I141" s="22"/>
      <c r="J141" s="12"/>
      <c r="K141" s="14">
        <f>K142</f>
        <v>100000</v>
      </c>
      <c r="L141" s="14">
        <f t="shared" ref="L141:O144" si="80">L142</f>
        <v>100000</v>
      </c>
      <c r="M141" s="14"/>
      <c r="N141" s="2">
        <f t="shared" si="70"/>
        <v>100000</v>
      </c>
      <c r="O141" s="14">
        <f t="shared" si="80"/>
        <v>100000</v>
      </c>
      <c r="P141" s="500"/>
      <c r="Q141" s="2">
        <f t="shared" si="67"/>
        <v>100000</v>
      </c>
    </row>
    <row r="142" spans="1:17" s="15" customFormat="1" x14ac:dyDescent="0.25">
      <c r="A142" s="589" t="s">
        <v>16</v>
      </c>
      <c r="B142" s="589"/>
      <c r="C142" s="495"/>
      <c r="D142" s="18">
        <v>51</v>
      </c>
      <c r="E142" s="18">
        <v>7</v>
      </c>
      <c r="F142" s="18">
        <v>851</v>
      </c>
      <c r="G142" s="12"/>
      <c r="H142" s="22"/>
      <c r="I142" s="22"/>
      <c r="J142" s="12"/>
      <c r="K142" s="14">
        <f>K143</f>
        <v>100000</v>
      </c>
      <c r="L142" s="14">
        <f t="shared" si="80"/>
        <v>100000</v>
      </c>
      <c r="M142" s="14"/>
      <c r="N142" s="2">
        <f t="shared" si="70"/>
        <v>100000</v>
      </c>
      <c r="O142" s="14">
        <f t="shared" si="80"/>
        <v>100000</v>
      </c>
      <c r="P142" s="500"/>
      <c r="Q142" s="2">
        <f t="shared" si="67"/>
        <v>100000</v>
      </c>
    </row>
    <row r="143" spans="1:17" ht="24" customHeight="1" x14ac:dyDescent="0.25">
      <c r="A143" s="583" t="s">
        <v>569</v>
      </c>
      <c r="B143" s="583"/>
      <c r="C143" s="492"/>
      <c r="D143" s="289">
        <v>51</v>
      </c>
      <c r="E143" s="289">
        <v>7</v>
      </c>
      <c r="F143" s="289">
        <v>851</v>
      </c>
      <c r="G143" s="20" t="s">
        <v>7</v>
      </c>
      <c r="H143" s="20" t="s">
        <v>69</v>
      </c>
      <c r="I143" s="20" t="s">
        <v>574</v>
      </c>
      <c r="J143" s="1"/>
      <c r="K143" s="2">
        <f>K144</f>
        <v>100000</v>
      </c>
      <c r="L143" s="2">
        <f t="shared" si="80"/>
        <v>100000</v>
      </c>
      <c r="M143" s="2"/>
      <c r="N143" s="2">
        <f t="shared" si="70"/>
        <v>100000</v>
      </c>
      <c r="O143" s="2">
        <f t="shared" si="80"/>
        <v>100000</v>
      </c>
      <c r="P143" s="17"/>
      <c r="Q143" s="2">
        <f t="shared" si="67"/>
        <v>100000</v>
      </c>
    </row>
    <row r="144" spans="1:17" ht="13.5" customHeight="1" x14ac:dyDescent="0.25">
      <c r="A144" s="17"/>
      <c r="B144" s="492" t="s">
        <v>32</v>
      </c>
      <c r="C144" s="492"/>
      <c r="D144" s="289">
        <v>51</v>
      </c>
      <c r="E144" s="289">
        <v>7</v>
      </c>
      <c r="F144" s="289">
        <v>851</v>
      </c>
      <c r="G144" s="20" t="s">
        <v>7</v>
      </c>
      <c r="H144" s="20" t="s">
        <v>69</v>
      </c>
      <c r="I144" s="20" t="s">
        <v>574</v>
      </c>
      <c r="J144" s="1" t="s">
        <v>33</v>
      </c>
      <c r="K144" s="2">
        <f>K145</f>
        <v>100000</v>
      </c>
      <c r="L144" s="2">
        <f t="shared" si="80"/>
        <v>100000</v>
      </c>
      <c r="M144" s="2"/>
      <c r="N144" s="2">
        <f t="shared" si="70"/>
        <v>100000</v>
      </c>
      <c r="O144" s="2">
        <f t="shared" si="80"/>
        <v>100000</v>
      </c>
      <c r="P144" s="17"/>
      <c r="Q144" s="2">
        <f t="shared" si="67"/>
        <v>100000</v>
      </c>
    </row>
    <row r="145" spans="1:17" ht="24" x14ac:dyDescent="0.25">
      <c r="A145" s="17"/>
      <c r="B145" s="492" t="s">
        <v>376</v>
      </c>
      <c r="C145" s="492"/>
      <c r="D145" s="289">
        <v>51</v>
      </c>
      <c r="E145" s="289">
        <v>7</v>
      </c>
      <c r="F145" s="289">
        <v>851</v>
      </c>
      <c r="G145" s="20" t="s">
        <v>7</v>
      </c>
      <c r="H145" s="20" t="s">
        <v>69</v>
      </c>
      <c r="I145" s="20" t="s">
        <v>574</v>
      </c>
      <c r="J145" s="1" t="s">
        <v>67</v>
      </c>
      <c r="K145" s="2">
        <f>'6 Вед15'!J97</f>
        <v>100000</v>
      </c>
      <c r="L145" s="2">
        <v>100000</v>
      </c>
      <c r="M145" s="2"/>
      <c r="N145" s="2">
        <f t="shared" si="70"/>
        <v>100000</v>
      </c>
      <c r="O145" s="2">
        <v>100000</v>
      </c>
      <c r="P145" s="17"/>
      <c r="Q145" s="2">
        <f t="shared" si="67"/>
        <v>100000</v>
      </c>
    </row>
    <row r="146" spans="1:17" ht="27" customHeight="1" x14ac:dyDescent="0.25">
      <c r="A146" s="593" t="s">
        <v>669</v>
      </c>
      <c r="B146" s="593"/>
      <c r="C146" s="17"/>
      <c r="D146" s="498">
        <v>52</v>
      </c>
      <c r="E146" s="74"/>
      <c r="F146" s="17"/>
      <c r="G146" s="17"/>
      <c r="H146" s="17"/>
      <c r="I146" s="1"/>
      <c r="J146" s="1"/>
      <c r="K146" s="9">
        <f t="shared" ref="K146:O146" si="81">K147</f>
        <v>148946959</v>
      </c>
      <c r="L146" s="9">
        <f t="shared" si="81"/>
        <v>154829959</v>
      </c>
      <c r="M146" s="9"/>
      <c r="N146" s="2">
        <f t="shared" si="70"/>
        <v>154829959</v>
      </c>
      <c r="O146" s="9">
        <f t="shared" si="81"/>
        <v>154823759</v>
      </c>
      <c r="P146" s="17"/>
      <c r="Q146" s="2">
        <f t="shared" si="67"/>
        <v>154823759</v>
      </c>
    </row>
    <row r="147" spans="1:17" ht="24.75" customHeight="1" x14ac:dyDescent="0.25">
      <c r="A147" s="589" t="s">
        <v>122</v>
      </c>
      <c r="B147" s="589"/>
      <c r="C147" s="18"/>
      <c r="D147" s="18">
        <v>52</v>
      </c>
      <c r="E147" s="18">
        <v>0</v>
      </c>
      <c r="F147" s="18">
        <v>852</v>
      </c>
      <c r="G147" s="20"/>
      <c r="H147" s="20"/>
      <c r="I147" s="20"/>
      <c r="J147" s="1"/>
      <c r="K147" s="14">
        <f>K148+K151+K154+K157+K160+K169+K174+K177+K180+K185+K188+K191+K200+K203+K206+K209</f>
        <v>148946959</v>
      </c>
      <c r="L147" s="14">
        <f>L148+L151+L154+L157+L160+L169+L174+L177+L180+L185+L188+L191+L200+L203+L206+L209</f>
        <v>154829959</v>
      </c>
      <c r="M147" s="14"/>
      <c r="N147" s="2">
        <f t="shared" si="70"/>
        <v>154829959</v>
      </c>
      <c r="O147" s="14">
        <f>O148+O151+O154+O157+O160+O169+O174+O177+O180+O185+O188+O191+O200+O203+O206+O209</f>
        <v>154823759</v>
      </c>
      <c r="P147" s="17"/>
      <c r="Q147" s="2">
        <f t="shared" si="67"/>
        <v>154823759</v>
      </c>
    </row>
    <row r="148" spans="1:17" ht="27" customHeight="1" x14ac:dyDescent="0.25">
      <c r="A148" s="583" t="s">
        <v>27</v>
      </c>
      <c r="B148" s="583"/>
      <c r="C148" s="289"/>
      <c r="D148" s="289">
        <v>52</v>
      </c>
      <c r="E148" s="289">
        <v>0</v>
      </c>
      <c r="F148" s="289">
        <v>852</v>
      </c>
      <c r="G148" s="1" t="s">
        <v>37</v>
      </c>
      <c r="H148" s="1" t="s">
        <v>58</v>
      </c>
      <c r="I148" s="1" t="s">
        <v>562</v>
      </c>
      <c r="J148" s="1"/>
      <c r="K148" s="2">
        <f t="shared" ref="K148:O149" si="82">K149</f>
        <v>836500</v>
      </c>
      <c r="L148" s="2">
        <f t="shared" si="82"/>
        <v>825100</v>
      </c>
      <c r="M148" s="2"/>
      <c r="N148" s="2">
        <f t="shared" si="70"/>
        <v>825100</v>
      </c>
      <c r="O148" s="2">
        <f t="shared" si="82"/>
        <v>825100</v>
      </c>
      <c r="P148" s="17"/>
      <c r="Q148" s="2">
        <f t="shared" si="67"/>
        <v>825100</v>
      </c>
    </row>
    <row r="149" spans="1:17" ht="36" customHeight="1" x14ac:dyDescent="0.25">
      <c r="A149" s="17"/>
      <c r="B149" s="497" t="s">
        <v>22</v>
      </c>
      <c r="C149" s="289"/>
      <c r="D149" s="289">
        <v>52</v>
      </c>
      <c r="E149" s="289">
        <v>0</v>
      </c>
      <c r="F149" s="289">
        <v>852</v>
      </c>
      <c r="G149" s="1" t="s">
        <v>37</v>
      </c>
      <c r="H149" s="1" t="s">
        <v>58</v>
      </c>
      <c r="I149" s="1" t="s">
        <v>562</v>
      </c>
      <c r="J149" s="1" t="s">
        <v>24</v>
      </c>
      <c r="K149" s="2">
        <f t="shared" si="82"/>
        <v>836500</v>
      </c>
      <c r="L149" s="2">
        <f t="shared" si="82"/>
        <v>825100</v>
      </c>
      <c r="M149" s="2"/>
      <c r="N149" s="2">
        <f t="shared" si="70"/>
        <v>825100</v>
      </c>
      <c r="O149" s="2">
        <f t="shared" si="82"/>
        <v>825100</v>
      </c>
      <c r="P149" s="17"/>
      <c r="Q149" s="2">
        <f t="shared" si="67"/>
        <v>825100</v>
      </c>
    </row>
    <row r="150" spans="1:17" ht="12" customHeight="1" x14ac:dyDescent="0.25">
      <c r="A150" s="17"/>
      <c r="B150" s="497" t="s">
        <v>25</v>
      </c>
      <c r="C150" s="289"/>
      <c r="D150" s="289">
        <v>52</v>
      </c>
      <c r="E150" s="289">
        <v>0</v>
      </c>
      <c r="F150" s="289">
        <v>852</v>
      </c>
      <c r="G150" s="1" t="s">
        <v>37</v>
      </c>
      <c r="H150" s="1" t="s">
        <v>58</v>
      </c>
      <c r="I150" s="1" t="s">
        <v>562</v>
      </c>
      <c r="J150" s="1" t="s">
        <v>26</v>
      </c>
      <c r="K150" s="2">
        <f>'6 Вед15'!J224</f>
        <v>836500</v>
      </c>
      <c r="L150" s="2">
        <v>825100</v>
      </c>
      <c r="M150" s="2"/>
      <c r="N150" s="2">
        <f t="shared" si="70"/>
        <v>825100</v>
      </c>
      <c r="O150" s="2">
        <v>825100</v>
      </c>
      <c r="P150" s="17"/>
      <c r="Q150" s="2">
        <f t="shared" si="67"/>
        <v>825100</v>
      </c>
    </row>
    <row r="151" spans="1:17" s="26" customFormat="1" ht="13.5" customHeight="1" x14ac:dyDescent="0.25">
      <c r="A151" s="583" t="s">
        <v>126</v>
      </c>
      <c r="B151" s="583"/>
      <c r="C151" s="492"/>
      <c r="D151" s="289">
        <v>52</v>
      </c>
      <c r="E151" s="289">
        <v>0</v>
      </c>
      <c r="F151" s="289">
        <v>852</v>
      </c>
      <c r="G151" s="20" t="s">
        <v>37</v>
      </c>
      <c r="H151" s="20" t="s">
        <v>18</v>
      </c>
      <c r="I151" s="20" t="s">
        <v>355</v>
      </c>
      <c r="J151" s="20"/>
      <c r="K151" s="24">
        <f t="shared" ref="K151:O152" si="83">K152</f>
        <v>11495900</v>
      </c>
      <c r="L151" s="24">
        <f t="shared" si="83"/>
        <v>11495900</v>
      </c>
      <c r="M151" s="24"/>
      <c r="N151" s="2">
        <f t="shared" si="70"/>
        <v>11495900</v>
      </c>
      <c r="O151" s="24">
        <f t="shared" si="83"/>
        <v>11495900</v>
      </c>
      <c r="P151" s="497"/>
      <c r="Q151" s="2">
        <f t="shared" si="67"/>
        <v>11495900</v>
      </c>
    </row>
    <row r="152" spans="1:17" s="26" customFormat="1" ht="24.75" customHeight="1" x14ac:dyDescent="0.25">
      <c r="A152" s="492"/>
      <c r="B152" s="492" t="s">
        <v>95</v>
      </c>
      <c r="C152" s="492"/>
      <c r="D152" s="289">
        <v>52</v>
      </c>
      <c r="E152" s="289">
        <v>0</v>
      </c>
      <c r="F152" s="289">
        <v>852</v>
      </c>
      <c r="G152" s="20" t="s">
        <v>37</v>
      </c>
      <c r="H152" s="20" t="s">
        <v>18</v>
      </c>
      <c r="I152" s="20" t="s">
        <v>355</v>
      </c>
      <c r="J152" s="20" t="s">
        <v>90</v>
      </c>
      <c r="K152" s="24">
        <f t="shared" si="83"/>
        <v>11495900</v>
      </c>
      <c r="L152" s="24">
        <f t="shared" si="83"/>
        <v>11495900</v>
      </c>
      <c r="M152" s="24"/>
      <c r="N152" s="2">
        <f t="shared" si="70"/>
        <v>11495900</v>
      </c>
      <c r="O152" s="24">
        <f t="shared" si="83"/>
        <v>11495900</v>
      </c>
      <c r="P152" s="497"/>
      <c r="Q152" s="2">
        <f t="shared" si="67"/>
        <v>11495900</v>
      </c>
    </row>
    <row r="153" spans="1:17" ht="39" customHeight="1" x14ac:dyDescent="0.25">
      <c r="A153" s="492"/>
      <c r="B153" s="492" t="s">
        <v>91</v>
      </c>
      <c r="C153" s="492"/>
      <c r="D153" s="289">
        <v>52</v>
      </c>
      <c r="E153" s="289">
        <v>0</v>
      </c>
      <c r="F153" s="289">
        <v>852</v>
      </c>
      <c r="G153" s="1" t="s">
        <v>37</v>
      </c>
      <c r="H153" s="1" t="s">
        <v>18</v>
      </c>
      <c r="I153" s="1" t="s">
        <v>355</v>
      </c>
      <c r="J153" s="1" t="s">
        <v>92</v>
      </c>
      <c r="K153" s="2">
        <f>'6 Вед15'!J185</f>
        <v>11495900</v>
      </c>
      <c r="L153" s="2">
        <v>11495900</v>
      </c>
      <c r="M153" s="2"/>
      <c r="N153" s="2">
        <f t="shared" si="70"/>
        <v>11495900</v>
      </c>
      <c r="O153" s="2">
        <v>11495900</v>
      </c>
      <c r="P153" s="17"/>
      <c r="Q153" s="2">
        <f t="shared" si="67"/>
        <v>11495900</v>
      </c>
    </row>
    <row r="154" spans="1:17" x14ac:dyDescent="0.25">
      <c r="A154" s="583" t="s">
        <v>135</v>
      </c>
      <c r="B154" s="583"/>
      <c r="C154" s="492"/>
      <c r="D154" s="289">
        <v>52</v>
      </c>
      <c r="E154" s="289">
        <v>0</v>
      </c>
      <c r="F154" s="289">
        <v>852</v>
      </c>
      <c r="G154" s="1" t="s">
        <v>37</v>
      </c>
      <c r="H154" s="1" t="s">
        <v>74</v>
      </c>
      <c r="I154" s="1" t="s">
        <v>356</v>
      </c>
      <c r="J154" s="1"/>
      <c r="K154" s="2">
        <f t="shared" ref="K154:O155" si="84">K155</f>
        <v>13985000</v>
      </c>
      <c r="L154" s="2">
        <f t="shared" si="84"/>
        <v>18485000</v>
      </c>
      <c r="M154" s="2"/>
      <c r="N154" s="2">
        <f t="shared" si="70"/>
        <v>18485000</v>
      </c>
      <c r="O154" s="2">
        <f t="shared" si="84"/>
        <v>18485000</v>
      </c>
      <c r="P154" s="17"/>
      <c r="Q154" s="2">
        <f t="shared" si="67"/>
        <v>18485000</v>
      </c>
    </row>
    <row r="155" spans="1:17" ht="24" x14ac:dyDescent="0.25">
      <c r="A155" s="492"/>
      <c r="B155" s="492" t="s">
        <v>95</v>
      </c>
      <c r="C155" s="492"/>
      <c r="D155" s="289">
        <v>52</v>
      </c>
      <c r="E155" s="289">
        <v>0</v>
      </c>
      <c r="F155" s="289">
        <v>852</v>
      </c>
      <c r="G155" s="1" t="s">
        <v>37</v>
      </c>
      <c r="H155" s="20" t="s">
        <v>74</v>
      </c>
      <c r="I155" s="20" t="s">
        <v>356</v>
      </c>
      <c r="J155" s="1" t="s">
        <v>90</v>
      </c>
      <c r="K155" s="2">
        <f t="shared" si="84"/>
        <v>13985000</v>
      </c>
      <c r="L155" s="2">
        <f t="shared" si="84"/>
        <v>18485000</v>
      </c>
      <c r="M155" s="2"/>
      <c r="N155" s="2">
        <f t="shared" si="70"/>
        <v>18485000</v>
      </c>
      <c r="O155" s="2">
        <f t="shared" si="84"/>
        <v>18485000</v>
      </c>
      <c r="P155" s="17"/>
      <c r="Q155" s="2">
        <f t="shared" si="67"/>
        <v>18485000</v>
      </c>
    </row>
    <row r="156" spans="1:17" ht="36" x14ac:dyDescent="0.25">
      <c r="A156" s="492"/>
      <c r="B156" s="492" t="s">
        <v>91</v>
      </c>
      <c r="C156" s="492"/>
      <c r="D156" s="289">
        <v>52</v>
      </c>
      <c r="E156" s="289">
        <v>0</v>
      </c>
      <c r="F156" s="289">
        <v>852</v>
      </c>
      <c r="G156" s="1" t="s">
        <v>37</v>
      </c>
      <c r="H156" s="20" t="s">
        <v>74</v>
      </c>
      <c r="I156" s="20" t="s">
        <v>356</v>
      </c>
      <c r="J156" s="1" t="s">
        <v>92</v>
      </c>
      <c r="K156" s="2">
        <f>'6 Вед15'!J198</f>
        <v>13985000</v>
      </c>
      <c r="L156" s="2">
        <v>18485000</v>
      </c>
      <c r="M156" s="2"/>
      <c r="N156" s="2">
        <f t="shared" si="70"/>
        <v>18485000</v>
      </c>
      <c r="O156" s="2">
        <v>18485000</v>
      </c>
      <c r="P156" s="17"/>
      <c r="Q156" s="2">
        <f t="shared" si="67"/>
        <v>18485000</v>
      </c>
    </row>
    <row r="157" spans="1:17" x14ac:dyDescent="0.25">
      <c r="A157" s="583" t="s">
        <v>137</v>
      </c>
      <c r="B157" s="583"/>
      <c r="C157" s="492"/>
      <c r="D157" s="289">
        <v>52</v>
      </c>
      <c r="E157" s="289">
        <v>0</v>
      </c>
      <c r="F157" s="289">
        <v>852</v>
      </c>
      <c r="G157" s="20" t="s">
        <v>37</v>
      </c>
      <c r="H157" s="20" t="s">
        <v>74</v>
      </c>
      <c r="I157" s="20" t="s">
        <v>357</v>
      </c>
      <c r="J157" s="1"/>
      <c r="K157" s="2">
        <f t="shared" ref="K157:O158" si="85">K158</f>
        <v>8331600</v>
      </c>
      <c r="L157" s="2">
        <f t="shared" si="85"/>
        <v>9581600</v>
      </c>
      <c r="M157" s="2"/>
      <c r="N157" s="2">
        <f t="shared" si="70"/>
        <v>9581600</v>
      </c>
      <c r="O157" s="2">
        <f t="shared" si="85"/>
        <v>9581600</v>
      </c>
      <c r="P157" s="17"/>
      <c r="Q157" s="2">
        <f t="shared" si="67"/>
        <v>9581600</v>
      </c>
    </row>
    <row r="158" spans="1:17" ht="24" x14ac:dyDescent="0.25">
      <c r="A158" s="492"/>
      <c r="B158" s="492" t="s">
        <v>95</v>
      </c>
      <c r="C158" s="492"/>
      <c r="D158" s="289">
        <v>52</v>
      </c>
      <c r="E158" s="289">
        <v>0</v>
      </c>
      <c r="F158" s="289">
        <v>852</v>
      </c>
      <c r="G158" s="1" t="s">
        <v>37</v>
      </c>
      <c r="H158" s="20" t="s">
        <v>74</v>
      </c>
      <c r="I158" s="20" t="s">
        <v>357</v>
      </c>
      <c r="J158" s="1" t="s">
        <v>90</v>
      </c>
      <c r="K158" s="2">
        <f t="shared" si="85"/>
        <v>8331600</v>
      </c>
      <c r="L158" s="2">
        <f t="shared" si="85"/>
        <v>9581600</v>
      </c>
      <c r="M158" s="2"/>
      <c r="N158" s="2">
        <f t="shared" si="70"/>
        <v>9581600</v>
      </c>
      <c r="O158" s="2">
        <f t="shared" si="85"/>
        <v>9581600</v>
      </c>
      <c r="P158" s="17"/>
      <c r="Q158" s="2">
        <f t="shared" si="67"/>
        <v>9581600</v>
      </c>
    </row>
    <row r="159" spans="1:17" x14ac:dyDescent="0.25">
      <c r="A159" s="492"/>
      <c r="B159" s="307" t="s">
        <v>130</v>
      </c>
      <c r="C159" s="492"/>
      <c r="D159" s="289">
        <v>52</v>
      </c>
      <c r="E159" s="289">
        <v>0</v>
      </c>
      <c r="F159" s="289">
        <v>852</v>
      </c>
      <c r="G159" s="1" t="s">
        <v>37</v>
      </c>
      <c r="H159" s="20" t="s">
        <v>74</v>
      </c>
      <c r="I159" s="20" t="s">
        <v>357</v>
      </c>
      <c r="J159" s="1" t="s">
        <v>92</v>
      </c>
      <c r="K159" s="2">
        <f>'6 Вед15'!J201</f>
        <v>8331600</v>
      </c>
      <c r="L159" s="2">
        <v>9581600</v>
      </c>
      <c r="M159" s="2"/>
      <c r="N159" s="2">
        <f t="shared" si="70"/>
        <v>9581600</v>
      </c>
      <c r="O159" s="2">
        <v>9581600</v>
      </c>
      <c r="P159" s="17"/>
      <c r="Q159" s="2">
        <f t="shared" si="67"/>
        <v>9581600</v>
      </c>
    </row>
    <row r="160" spans="1:17" ht="15" customHeight="1" x14ac:dyDescent="0.25">
      <c r="A160" s="583" t="s">
        <v>144</v>
      </c>
      <c r="B160" s="583"/>
      <c r="C160" s="492"/>
      <c r="D160" s="289">
        <v>52</v>
      </c>
      <c r="E160" s="289">
        <v>0</v>
      </c>
      <c r="F160" s="289">
        <v>852</v>
      </c>
      <c r="G160" s="1" t="s">
        <v>37</v>
      </c>
      <c r="H160" s="1" t="s">
        <v>58</v>
      </c>
      <c r="I160" s="1" t="s">
        <v>360</v>
      </c>
      <c r="J160" s="1"/>
      <c r="K160" s="2">
        <f t="shared" ref="K160:O160" si="86">K161+K163+K165+K167</f>
        <v>9831800</v>
      </c>
      <c r="L160" s="2">
        <f t="shared" si="86"/>
        <v>9831800</v>
      </c>
      <c r="M160" s="2"/>
      <c r="N160" s="2">
        <f t="shared" si="70"/>
        <v>9831800</v>
      </c>
      <c r="O160" s="2">
        <f t="shared" si="86"/>
        <v>9831800</v>
      </c>
      <c r="P160" s="17"/>
      <c r="Q160" s="2">
        <f t="shared" si="67"/>
        <v>9831800</v>
      </c>
    </row>
    <row r="161" spans="1:17" ht="36.75" customHeight="1" x14ac:dyDescent="0.25">
      <c r="A161" s="17"/>
      <c r="B161" s="497" t="s">
        <v>22</v>
      </c>
      <c r="C161" s="289"/>
      <c r="D161" s="289">
        <v>52</v>
      </c>
      <c r="E161" s="289">
        <v>0</v>
      </c>
      <c r="F161" s="289">
        <v>852</v>
      </c>
      <c r="G161" s="1" t="s">
        <v>37</v>
      </c>
      <c r="H161" s="1" t="s">
        <v>58</v>
      </c>
      <c r="I161" s="1" t="s">
        <v>360</v>
      </c>
      <c r="J161" s="1" t="s">
        <v>24</v>
      </c>
      <c r="K161" s="2">
        <f t="shared" ref="K161:O161" si="87">K162</f>
        <v>2427300</v>
      </c>
      <c r="L161" s="2">
        <f t="shared" si="87"/>
        <v>2427300</v>
      </c>
      <c r="M161" s="2"/>
      <c r="N161" s="2">
        <f t="shared" si="70"/>
        <v>2427300</v>
      </c>
      <c r="O161" s="2">
        <f t="shared" si="87"/>
        <v>2427300</v>
      </c>
      <c r="P161" s="17"/>
      <c r="Q161" s="2">
        <f t="shared" si="67"/>
        <v>2427300</v>
      </c>
    </row>
    <row r="162" spans="1:17" ht="15.75" customHeight="1" x14ac:dyDescent="0.25">
      <c r="A162" s="17"/>
      <c r="B162" s="497" t="s">
        <v>25</v>
      </c>
      <c r="C162" s="289"/>
      <c r="D162" s="289">
        <v>52</v>
      </c>
      <c r="E162" s="289">
        <v>0</v>
      </c>
      <c r="F162" s="289">
        <v>852</v>
      </c>
      <c r="G162" s="1" t="s">
        <v>37</v>
      </c>
      <c r="H162" s="1" t="s">
        <v>58</v>
      </c>
      <c r="I162" s="1" t="s">
        <v>360</v>
      </c>
      <c r="J162" s="1" t="s">
        <v>26</v>
      </c>
      <c r="K162" s="2">
        <f>'6 Вед15'!J227</f>
        <v>2427300</v>
      </c>
      <c r="L162" s="2">
        <v>2427300</v>
      </c>
      <c r="M162" s="2"/>
      <c r="N162" s="2">
        <f t="shared" si="70"/>
        <v>2427300</v>
      </c>
      <c r="O162" s="2">
        <v>2427300</v>
      </c>
      <c r="P162" s="17"/>
      <c r="Q162" s="2">
        <f t="shared" si="67"/>
        <v>2427300</v>
      </c>
    </row>
    <row r="163" spans="1:17" ht="12" customHeight="1" x14ac:dyDescent="0.25">
      <c r="A163" s="497"/>
      <c r="B163" s="492" t="s">
        <v>28</v>
      </c>
      <c r="C163" s="497"/>
      <c r="D163" s="289">
        <v>52</v>
      </c>
      <c r="E163" s="289">
        <v>0</v>
      </c>
      <c r="F163" s="289">
        <v>852</v>
      </c>
      <c r="G163" s="1" t="s">
        <v>37</v>
      </c>
      <c r="H163" s="1" t="s">
        <v>58</v>
      </c>
      <c r="I163" s="1" t="s">
        <v>360</v>
      </c>
      <c r="J163" s="1" t="s">
        <v>29</v>
      </c>
      <c r="K163" s="2">
        <f t="shared" ref="K163:O163" si="88">K164</f>
        <v>505100</v>
      </c>
      <c r="L163" s="2">
        <f t="shared" si="88"/>
        <v>505100</v>
      </c>
      <c r="M163" s="2"/>
      <c r="N163" s="2">
        <f t="shared" si="70"/>
        <v>505100</v>
      </c>
      <c r="O163" s="2">
        <f t="shared" si="88"/>
        <v>505100</v>
      </c>
      <c r="P163" s="17"/>
      <c r="Q163" s="2">
        <f t="shared" si="67"/>
        <v>505100</v>
      </c>
    </row>
    <row r="164" spans="1:17" ht="24" customHeight="1" x14ac:dyDescent="0.25">
      <c r="A164" s="497"/>
      <c r="B164" s="492" t="s">
        <v>30</v>
      </c>
      <c r="C164" s="492"/>
      <c r="D164" s="289">
        <v>52</v>
      </c>
      <c r="E164" s="289">
        <v>0</v>
      </c>
      <c r="F164" s="289">
        <v>852</v>
      </c>
      <c r="G164" s="1" t="s">
        <v>37</v>
      </c>
      <c r="H164" s="1" t="s">
        <v>58</v>
      </c>
      <c r="I164" s="1" t="s">
        <v>360</v>
      </c>
      <c r="J164" s="1" t="s">
        <v>31</v>
      </c>
      <c r="K164" s="2">
        <f>'6 Вед15'!J229</f>
        <v>505100</v>
      </c>
      <c r="L164" s="2">
        <v>505100</v>
      </c>
      <c r="M164" s="2"/>
      <c r="N164" s="2">
        <f t="shared" si="70"/>
        <v>505100</v>
      </c>
      <c r="O164" s="2">
        <v>505100</v>
      </c>
      <c r="P164" s="17"/>
      <c r="Q164" s="2">
        <f t="shared" si="67"/>
        <v>505100</v>
      </c>
    </row>
    <row r="165" spans="1:17" ht="24" x14ac:dyDescent="0.25">
      <c r="A165" s="492"/>
      <c r="B165" s="492" t="s">
        <v>95</v>
      </c>
      <c r="C165" s="492"/>
      <c r="D165" s="289">
        <v>52</v>
      </c>
      <c r="E165" s="289">
        <v>0</v>
      </c>
      <c r="F165" s="289">
        <v>852</v>
      </c>
      <c r="G165" s="1" t="s">
        <v>37</v>
      </c>
      <c r="H165" s="1" t="s">
        <v>58</v>
      </c>
      <c r="I165" s="1" t="s">
        <v>360</v>
      </c>
      <c r="J165" s="1" t="s">
        <v>90</v>
      </c>
      <c r="K165" s="2">
        <f t="shared" ref="K165:O165" si="89">K166</f>
        <v>6887400</v>
      </c>
      <c r="L165" s="2">
        <f t="shared" si="89"/>
        <v>6887400</v>
      </c>
      <c r="M165" s="2"/>
      <c r="N165" s="2">
        <f t="shared" si="70"/>
        <v>6887400</v>
      </c>
      <c r="O165" s="2">
        <f t="shared" si="89"/>
        <v>6887400</v>
      </c>
      <c r="P165" s="17"/>
      <c r="Q165" s="2">
        <f t="shared" si="67"/>
        <v>6887400</v>
      </c>
    </row>
    <row r="166" spans="1:17" ht="36" x14ac:dyDescent="0.25">
      <c r="A166" s="492"/>
      <c r="B166" s="492" t="s">
        <v>91</v>
      </c>
      <c r="C166" s="492"/>
      <c r="D166" s="289">
        <v>52</v>
      </c>
      <c r="E166" s="289">
        <v>0</v>
      </c>
      <c r="F166" s="289">
        <v>852</v>
      </c>
      <c r="G166" s="1" t="s">
        <v>37</v>
      </c>
      <c r="H166" s="1" t="s">
        <v>58</v>
      </c>
      <c r="I166" s="1" t="s">
        <v>360</v>
      </c>
      <c r="J166" s="1" t="s">
        <v>92</v>
      </c>
      <c r="K166" s="2">
        <f>'6 Вед15'!J231</f>
        <v>6887400</v>
      </c>
      <c r="L166" s="2">
        <v>6887400</v>
      </c>
      <c r="M166" s="2"/>
      <c r="N166" s="2">
        <f t="shared" si="70"/>
        <v>6887400</v>
      </c>
      <c r="O166" s="2">
        <v>6887400</v>
      </c>
      <c r="P166" s="17"/>
      <c r="Q166" s="2">
        <f t="shared" si="67"/>
        <v>6887400</v>
      </c>
    </row>
    <row r="167" spans="1:17" ht="12" customHeight="1" x14ac:dyDescent="0.25">
      <c r="A167" s="492"/>
      <c r="B167" s="492" t="s">
        <v>32</v>
      </c>
      <c r="C167" s="492"/>
      <c r="D167" s="289">
        <v>52</v>
      </c>
      <c r="E167" s="289">
        <v>0</v>
      </c>
      <c r="F167" s="289">
        <v>852</v>
      </c>
      <c r="G167" s="1" t="s">
        <v>37</v>
      </c>
      <c r="H167" s="1" t="s">
        <v>58</v>
      </c>
      <c r="I167" s="1" t="s">
        <v>360</v>
      </c>
      <c r="J167" s="1" t="s">
        <v>33</v>
      </c>
      <c r="K167" s="2">
        <f t="shared" ref="K167:O167" si="90">K168</f>
        <v>12000</v>
      </c>
      <c r="L167" s="2">
        <f t="shared" si="90"/>
        <v>12000</v>
      </c>
      <c r="M167" s="2"/>
      <c r="N167" s="2">
        <f t="shared" si="70"/>
        <v>12000</v>
      </c>
      <c r="O167" s="2">
        <f t="shared" si="90"/>
        <v>12000</v>
      </c>
      <c r="P167" s="17"/>
      <c r="Q167" s="2">
        <f t="shared" si="67"/>
        <v>12000</v>
      </c>
    </row>
    <row r="168" spans="1:17" ht="15" customHeight="1" x14ac:dyDescent="0.25">
      <c r="A168" s="492"/>
      <c r="B168" s="492" t="s">
        <v>34</v>
      </c>
      <c r="C168" s="492"/>
      <c r="D168" s="289">
        <v>52</v>
      </c>
      <c r="E168" s="289">
        <v>0</v>
      </c>
      <c r="F168" s="289">
        <v>852</v>
      </c>
      <c r="G168" s="1" t="s">
        <v>37</v>
      </c>
      <c r="H168" s="1" t="s">
        <v>58</v>
      </c>
      <c r="I168" s="1" t="s">
        <v>360</v>
      </c>
      <c r="J168" s="1" t="s">
        <v>35</v>
      </c>
      <c r="K168" s="2">
        <f>'6 Вед15'!J233</f>
        <v>12000</v>
      </c>
      <c r="L168" s="2">
        <v>12000</v>
      </c>
      <c r="M168" s="2"/>
      <c r="N168" s="2">
        <f t="shared" si="70"/>
        <v>12000</v>
      </c>
      <c r="O168" s="2">
        <v>12000</v>
      </c>
      <c r="P168" s="17"/>
      <c r="Q168" s="2">
        <f t="shared" si="67"/>
        <v>12000</v>
      </c>
    </row>
    <row r="169" spans="1:17" ht="47.25" customHeight="1" x14ac:dyDescent="0.25">
      <c r="A169" s="583" t="s">
        <v>46</v>
      </c>
      <c r="B169" s="583"/>
      <c r="C169" s="289"/>
      <c r="D169" s="289">
        <v>52</v>
      </c>
      <c r="E169" s="289">
        <v>0</v>
      </c>
      <c r="F169" s="289">
        <v>852</v>
      </c>
      <c r="G169" s="1" t="s">
        <v>0</v>
      </c>
      <c r="H169" s="1" t="s">
        <v>1</v>
      </c>
      <c r="I169" s="1" t="s">
        <v>334</v>
      </c>
      <c r="J169" s="1"/>
      <c r="K169" s="2">
        <f t="shared" ref="K169:O169" si="91">K170+K172</f>
        <v>510800</v>
      </c>
      <c r="L169" s="2">
        <f t="shared" si="91"/>
        <v>510800</v>
      </c>
      <c r="M169" s="2"/>
      <c r="N169" s="2">
        <f t="shared" si="70"/>
        <v>510800</v>
      </c>
      <c r="O169" s="2">
        <f t="shared" si="91"/>
        <v>510800</v>
      </c>
      <c r="P169" s="17"/>
      <c r="Q169" s="2">
        <f t="shared" si="67"/>
        <v>510800</v>
      </c>
    </row>
    <row r="170" spans="1:17" ht="39" customHeight="1" x14ac:dyDescent="0.25">
      <c r="A170" s="17"/>
      <c r="B170" s="497" t="s">
        <v>22</v>
      </c>
      <c r="C170" s="289"/>
      <c r="D170" s="289">
        <v>52</v>
      </c>
      <c r="E170" s="289">
        <v>0</v>
      </c>
      <c r="F170" s="289">
        <v>852</v>
      </c>
      <c r="G170" s="20" t="s">
        <v>0</v>
      </c>
      <c r="H170" s="20" t="s">
        <v>1</v>
      </c>
      <c r="I170" s="20" t="s">
        <v>334</v>
      </c>
      <c r="J170" s="1" t="s">
        <v>24</v>
      </c>
      <c r="K170" s="2">
        <f t="shared" ref="K170:O170" si="92">K171</f>
        <v>379550</v>
      </c>
      <c r="L170" s="2">
        <f t="shared" si="92"/>
        <v>431934</v>
      </c>
      <c r="M170" s="2"/>
      <c r="N170" s="2">
        <f t="shared" si="70"/>
        <v>431934</v>
      </c>
      <c r="O170" s="2">
        <f t="shared" si="92"/>
        <v>431934</v>
      </c>
      <c r="P170" s="17"/>
      <c r="Q170" s="2">
        <f t="shared" si="67"/>
        <v>431934</v>
      </c>
    </row>
    <row r="171" spans="1:17" ht="15" customHeight="1" x14ac:dyDescent="0.25">
      <c r="A171" s="17"/>
      <c r="B171" s="497" t="s">
        <v>25</v>
      </c>
      <c r="C171" s="289"/>
      <c r="D171" s="289">
        <v>52</v>
      </c>
      <c r="E171" s="289">
        <v>0</v>
      </c>
      <c r="F171" s="289">
        <v>852</v>
      </c>
      <c r="G171" s="20" t="s">
        <v>0</v>
      </c>
      <c r="H171" s="20" t="s">
        <v>1</v>
      </c>
      <c r="I171" s="20" t="s">
        <v>334</v>
      </c>
      <c r="J171" s="1" t="s">
        <v>26</v>
      </c>
      <c r="K171" s="2">
        <f>'6 Вед15'!J257</f>
        <v>379550</v>
      </c>
      <c r="L171" s="2">
        <v>431934</v>
      </c>
      <c r="M171" s="2"/>
      <c r="N171" s="2">
        <f t="shared" si="70"/>
        <v>431934</v>
      </c>
      <c r="O171" s="2">
        <v>431934</v>
      </c>
      <c r="P171" s="17"/>
      <c r="Q171" s="2">
        <f t="shared" si="67"/>
        <v>431934</v>
      </c>
    </row>
    <row r="172" spans="1:17" ht="15" customHeight="1" x14ac:dyDescent="0.25">
      <c r="A172" s="17"/>
      <c r="B172" s="492" t="s">
        <v>28</v>
      </c>
      <c r="C172" s="289"/>
      <c r="D172" s="289">
        <v>52</v>
      </c>
      <c r="E172" s="289">
        <v>0</v>
      </c>
      <c r="F172" s="289">
        <v>852</v>
      </c>
      <c r="G172" s="20" t="s">
        <v>0</v>
      </c>
      <c r="H172" s="20" t="s">
        <v>1</v>
      </c>
      <c r="I172" s="20" t="s">
        <v>334</v>
      </c>
      <c r="J172" s="1" t="s">
        <v>29</v>
      </c>
      <c r="K172" s="2">
        <f t="shared" ref="K172:O172" si="93">K173</f>
        <v>131250</v>
      </c>
      <c r="L172" s="2">
        <f t="shared" si="93"/>
        <v>78866</v>
      </c>
      <c r="M172" s="2"/>
      <c r="N172" s="2">
        <f t="shared" si="70"/>
        <v>78866</v>
      </c>
      <c r="O172" s="2">
        <f t="shared" si="93"/>
        <v>78866</v>
      </c>
      <c r="P172" s="17"/>
      <c r="Q172" s="2">
        <f t="shared" si="67"/>
        <v>78866</v>
      </c>
    </row>
    <row r="173" spans="1:17" ht="26.25" customHeight="1" x14ac:dyDescent="0.25">
      <c r="A173" s="17"/>
      <c r="B173" s="492" t="s">
        <v>30</v>
      </c>
      <c r="C173" s="289"/>
      <c r="D173" s="289">
        <v>52</v>
      </c>
      <c r="E173" s="289">
        <v>0</v>
      </c>
      <c r="F173" s="289">
        <v>852</v>
      </c>
      <c r="G173" s="20" t="s">
        <v>0</v>
      </c>
      <c r="H173" s="20" t="s">
        <v>1</v>
      </c>
      <c r="I173" s="20" t="s">
        <v>334</v>
      </c>
      <c r="J173" s="1" t="s">
        <v>31</v>
      </c>
      <c r="K173" s="2">
        <f>'6 Вед15'!J259</f>
        <v>131250</v>
      </c>
      <c r="L173" s="2">
        <v>78866</v>
      </c>
      <c r="M173" s="2"/>
      <c r="N173" s="2">
        <f t="shared" si="70"/>
        <v>78866</v>
      </c>
      <c r="O173" s="2">
        <v>78866</v>
      </c>
      <c r="P173" s="17"/>
      <c r="Q173" s="2">
        <f t="shared" si="67"/>
        <v>78866</v>
      </c>
    </row>
    <row r="174" spans="1:17" s="15" customFormat="1" ht="48" customHeight="1" x14ac:dyDescent="0.25">
      <c r="A174" s="583" t="s">
        <v>139</v>
      </c>
      <c r="B174" s="583"/>
      <c r="C174" s="495"/>
      <c r="D174" s="289">
        <v>52</v>
      </c>
      <c r="E174" s="289">
        <v>0</v>
      </c>
      <c r="F174" s="289">
        <v>852</v>
      </c>
      <c r="G174" s="1" t="s">
        <v>37</v>
      </c>
      <c r="H174" s="1" t="s">
        <v>74</v>
      </c>
      <c r="I174" s="1" t="s">
        <v>358</v>
      </c>
      <c r="J174" s="1"/>
      <c r="K174" s="2">
        <f t="shared" ref="K174:O175" si="94">K175</f>
        <v>66777336</v>
      </c>
      <c r="L174" s="2">
        <f t="shared" si="94"/>
        <v>66777336</v>
      </c>
      <c r="M174" s="2"/>
      <c r="N174" s="2">
        <f t="shared" si="70"/>
        <v>66777336</v>
      </c>
      <c r="O174" s="2">
        <f t="shared" si="94"/>
        <v>66777336</v>
      </c>
      <c r="P174" s="500"/>
      <c r="Q174" s="2">
        <f t="shared" si="67"/>
        <v>66777336</v>
      </c>
    </row>
    <row r="175" spans="1:17" s="15" customFormat="1" ht="25.5" customHeight="1" x14ac:dyDescent="0.25">
      <c r="A175" s="492"/>
      <c r="B175" s="492" t="s">
        <v>95</v>
      </c>
      <c r="C175" s="495"/>
      <c r="D175" s="289">
        <v>52</v>
      </c>
      <c r="E175" s="289">
        <v>0</v>
      </c>
      <c r="F175" s="289">
        <v>852</v>
      </c>
      <c r="G175" s="1" t="s">
        <v>37</v>
      </c>
      <c r="H175" s="1" t="s">
        <v>74</v>
      </c>
      <c r="I175" s="1" t="s">
        <v>358</v>
      </c>
      <c r="J175" s="1" t="s">
        <v>90</v>
      </c>
      <c r="K175" s="2">
        <f t="shared" si="94"/>
        <v>66777336</v>
      </c>
      <c r="L175" s="2">
        <f t="shared" si="94"/>
        <v>66777336</v>
      </c>
      <c r="M175" s="2"/>
      <c r="N175" s="2">
        <f t="shared" si="70"/>
        <v>66777336</v>
      </c>
      <c r="O175" s="2">
        <f t="shared" si="94"/>
        <v>66777336</v>
      </c>
      <c r="P175" s="500"/>
      <c r="Q175" s="2">
        <f t="shared" si="67"/>
        <v>66777336</v>
      </c>
    </row>
    <row r="176" spans="1:17" s="15" customFormat="1" ht="35.25" customHeight="1" x14ac:dyDescent="0.25">
      <c r="A176" s="492"/>
      <c r="B176" s="492" t="s">
        <v>91</v>
      </c>
      <c r="C176" s="492"/>
      <c r="D176" s="289">
        <v>52</v>
      </c>
      <c r="E176" s="289">
        <v>0</v>
      </c>
      <c r="F176" s="289">
        <v>852</v>
      </c>
      <c r="G176" s="1" t="s">
        <v>37</v>
      </c>
      <c r="H176" s="1" t="s">
        <v>74</v>
      </c>
      <c r="I176" s="1" t="s">
        <v>358</v>
      </c>
      <c r="J176" s="1" t="s">
        <v>92</v>
      </c>
      <c r="K176" s="2">
        <f>'6 Вед15'!J204</f>
        <v>66777336</v>
      </c>
      <c r="L176" s="2">
        <v>66777336</v>
      </c>
      <c r="M176" s="2"/>
      <c r="N176" s="2">
        <f t="shared" si="70"/>
        <v>66777336</v>
      </c>
      <c r="O176" s="2">
        <v>66777336</v>
      </c>
      <c r="P176" s="500"/>
      <c r="Q176" s="2">
        <f t="shared" si="67"/>
        <v>66777336</v>
      </c>
    </row>
    <row r="177" spans="1:17" s="15" customFormat="1" ht="25.5" customHeight="1" x14ac:dyDescent="0.25">
      <c r="A177" s="583" t="s">
        <v>659</v>
      </c>
      <c r="B177" s="583"/>
      <c r="C177" s="495"/>
      <c r="D177" s="289">
        <v>52</v>
      </c>
      <c r="E177" s="289">
        <v>0</v>
      </c>
      <c r="F177" s="289">
        <v>852</v>
      </c>
      <c r="G177" s="1" t="s">
        <v>37</v>
      </c>
      <c r="H177" s="1" t="s">
        <v>18</v>
      </c>
      <c r="I177" s="1" t="s">
        <v>353</v>
      </c>
      <c r="J177" s="1"/>
      <c r="K177" s="2">
        <f t="shared" ref="K177:O178" si="95">K178</f>
        <v>21495027</v>
      </c>
      <c r="L177" s="2">
        <f t="shared" si="95"/>
        <v>21495027</v>
      </c>
      <c r="M177" s="2"/>
      <c r="N177" s="2">
        <f t="shared" si="70"/>
        <v>21495027</v>
      </c>
      <c r="O177" s="2">
        <f t="shared" si="95"/>
        <v>21495027</v>
      </c>
      <c r="P177" s="500"/>
      <c r="Q177" s="2">
        <f t="shared" si="67"/>
        <v>21495027</v>
      </c>
    </row>
    <row r="178" spans="1:17" s="15" customFormat="1" ht="24" x14ac:dyDescent="0.25">
      <c r="A178" s="495"/>
      <c r="B178" s="492" t="s">
        <v>95</v>
      </c>
      <c r="C178" s="495"/>
      <c r="D178" s="289">
        <v>52</v>
      </c>
      <c r="E178" s="289">
        <v>0</v>
      </c>
      <c r="F178" s="289">
        <v>852</v>
      </c>
      <c r="G178" s="1" t="s">
        <v>37</v>
      </c>
      <c r="H178" s="1" t="s">
        <v>18</v>
      </c>
      <c r="I178" s="1" t="s">
        <v>353</v>
      </c>
      <c r="J178" s="1" t="s">
        <v>90</v>
      </c>
      <c r="K178" s="2">
        <f t="shared" si="95"/>
        <v>21495027</v>
      </c>
      <c r="L178" s="2">
        <f t="shared" si="95"/>
        <v>21495027</v>
      </c>
      <c r="M178" s="2"/>
      <c r="N178" s="2">
        <f t="shared" si="70"/>
        <v>21495027</v>
      </c>
      <c r="O178" s="2">
        <f t="shared" si="95"/>
        <v>21495027</v>
      </c>
      <c r="P178" s="500"/>
      <c r="Q178" s="2">
        <f t="shared" si="67"/>
        <v>21495027</v>
      </c>
    </row>
    <row r="179" spans="1:17" s="15" customFormat="1" ht="36" x14ac:dyDescent="0.25">
      <c r="A179" s="495"/>
      <c r="B179" s="492" t="s">
        <v>91</v>
      </c>
      <c r="C179" s="495"/>
      <c r="D179" s="289">
        <v>52</v>
      </c>
      <c r="E179" s="289">
        <v>0</v>
      </c>
      <c r="F179" s="289">
        <v>852</v>
      </c>
      <c r="G179" s="1" t="s">
        <v>37</v>
      </c>
      <c r="H179" s="1" t="s">
        <v>18</v>
      </c>
      <c r="I179" s="1" t="s">
        <v>353</v>
      </c>
      <c r="J179" s="1" t="s">
        <v>92</v>
      </c>
      <c r="K179" s="2">
        <f>'6 Вед15'!J188</f>
        <v>21495027</v>
      </c>
      <c r="L179" s="2">
        <v>21495027</v>
      </c>
      <c r="M179" s="2"/>
      <c r="N179" s="2">
        <f t="shared" si="70"/>
        <v>21495027</v>
      </c>
      <c r="O179" s="2">
        <v>21495027</v>
      </c>
      <c r="P179" s="500"/>
      <c r="Q179" s="2">
        <f t="shared" si="67"/>
        <v>21495027</v>
      </c>
    </row>
    <row r="180" spans="1:17" s="15" customFormat="1" ht="39" customHeight="1" x14ac:dyDescent="0.25">
      <c r="A180" s="583" t="s">
        <v>124</v>
      </c>
      <c r="B180" s="583"/>
      <c r="C180" s="495"/>
      <c r="D180" s="289">
        <v>52</v>
      </c>
      <c r="E180" s="289">
        <v>0</v>
      </c>
      <c r="F180" s="289">
        <v>852</v>
      </c>
      <c r="G180" s="1" t="s">
        <v>37</v>
      </c>
      <c r="H180" s="1" t="s">
        <v>18</v>
      </c>
      <c r="I180" s="1" t="s">
        <v>354</v>
      </c>
      <c r="J180" s="1"/>
      <c r="K180" s="2">
        <f t="shared" ref="K180:O180" si="96">K181+K183</f>
        <v>4690260</v>
      </c>
      <c r="L180" s="2">
        <f t="shared" si="96"/>
        <v>4690260</v>
      </c>
      <c r="M180" s="2"/>
      <c r="N180" s="2">
        <f t="shared" si="70"/>
        <v>4690260</v>
      </c>
      <c r="O180" s="2">
        <f t="shared" si="96"/>
        <v>4690260</v>
      </c>
      <c r="P180" s="500"/>
      <c r="Q180" s="2">
        <f t="shared" ref="Q180:Q243" si="97">O180+P180</f>
        <v>4690260</v>
      </c>
    </row>
    <row r="181" spans="1:17" s="15" customFormat="1" ht="24" x14ac:dyDescent="0.25">
      <c r="A181" s="495"/>
      <c r="B181" s="492" t="s">
        <v>95</v>
      </c>
      <c r="C181" s="495"/>
      <c r="D181" s="289">
        <v>52</v>
      </c>
      <c r="E181" s="289">
        <v>0</v>
      </c>
      <c r="F181" s="289">
        <v>852</v>
      </c>
      <c r="G181" s="1" t="s">
        <v>37</v>
      </c>
      <c r="H181" s="1" t="s">
        <v>18</v>
      </c>
      <c r="I181" s="1" t="s">
        <v>354</v>
      </c>
      <c r="J181" s="1" t="s">
        <v>90</v>
      </c>
      <c r="K181" s="2">
        <f t="shared" ref="K181:O181" si="98">K182</f>
        <v>3291200</v>
      </c>
      <c r="L181" s="2">
        <f t="shared" si="98"/>
        <v>3291200</v>
      </c>
      <c r="M181" s="2"/>
      <c r="N181" s="2">
        <f t="shared" si="70"/>
        <v>3291200</v>
      </c>
      <c r="O181" s="2">
        <f t="shared" si="98"/>
        <v>3291200</v>
      </c>
      <c r="P181" s="500"/>
      <c r="Q181" s="2">
        <f t="shared" si="97"/>
        <v>3291200</v>
      </c>
    </row>
    <row r="182" spans="1:17" s="15" customFormat="1" ht="36" x14ac:dyDescent="0.25">
      <c r="A182" s="495"/>
      <c r="B182" s="492" t="s">
        <v>91</v>
      </c>
      <c r="C182" s="495"/>
      <c r="D182" s="289">
        <v>52</v>
      </c>
      <c r="E182" s="289">
        <v>0</v>
      </c>
      <c r="F182" s="289">
        <v>852</v>
      </c>
      <c r="G182" s="1" t="s">
        <v>37</v>
      </c>
      <c r="H182" s="1" t="s">
        <v>18</v>
      </c>
      <c r="I182" s="1" t="s">
        <v>354</v>
      </c>
      <c r="J182" s="1" t="s">
        <v>92</v>
      </c>
      <c r="K182" s="2">
        <f>'6 Вед15'!J191+'6 Вед15'!J210</f>
        <v>3291200</v>
      </c>
      <c r="L182" s="2">
        <v>3291200</v>
      </c>
      <c r="M182" s="2"/>
      <c r="N182" s="2">
        <f t="shared" si="70"/>
        <v>3291200</v>
      </c>
      <c r="O182" s="2">
        <v>3291200</v>
      </c>
      <c r="P182" s="500"/>
      <c r="Q182" s="2">
        <f t="shared" si="97"/>
        <v>3291200</v>
      </c>
    </row>
    <row r="183" spans="1:17" x14ac:dyDescent="0.25">
      <c r="A183" s="17"/>
      <c r="B183" s="497" t="s">
        <v>108</v>
      </c>
      <c r="C183" s="497"/>
      <c r="D183" s="289">
        <v>52</v>
      </c>
      <c r="E183" s="289">
        <v>0</v>
      </c>
      <c r="F183" s="289">
        <v>852</v>
      </c>
      <c r="G183" s="1" t="s">
        <v>0</v>
      </c>
      <c r="H183" s="1" t="s">
        <v>7</v>
      </c>
      <c r="I183" s="1" t="s">
        <v>354</v>
      </c>
      <c r="J183" s="1" t="s">
        <v>109</v>
      </c>
      <c r="K183" s="2">
        <f t="shared" ref="K183:O183" si="99">K184</f>
        <v>1399060</v>
      </c>
      <c r="L183" s="2">
        <f t="shared" si="99"/>
        <v>1399060</v>
      </c>
      <c r="M183" s="2"/>
      <c r="N183" s="2">
        <f t="shared" si="70"/>
        <v>1399060</v>
      </c>
      <c r="O183" s="2">
        <f t="shared" si="99"/>
        <v>1399060</v>
      </c>
      <c r="P183" s="17"/>
      <c r="Q183" s="2">
        <f t="shared" si="97"/>
        <v>1399060</v>
      </c>
    </row>
    <row r="184" spans="1:17" s="15" customFormat="1" ht="24" customHeight="1" x14ac:dyDescent="0.25">
      <c r="A184" s="492"/>
      <c r="B184" s="492" t="s">
        <v>146</v>
      </c>
      <c r="C184" s="495"/>
      <c r="D184" s="289">
        <v>52</v>
      </c>
      <c r="E184" s="289">
        <v>0</v>
      </c>
      <c r="F184" s="289">
        <v>852</v>
      </c>
      <c r="G184" s="1" t="s">
        <v>37</v>
      </c>
      <c r="H184" s="1" t="s">
        <v>58</v>
      </c>
      <c r="I184" s="1" t="s">
        <v>354</v>
      </c>
      <c r="J184" s="1" t="s">
        <v>110</v>
      </c>
      <c r="K184" s="2">
        <f>'6 Вед15'!J236</f>
        <v>1399060</v>
      </c>
      <c r="L184" s="2">
        <v>1399060</v>
      </c>
      <c r="M184" s="2"/>
      <c r="N184" s="2">
        <f t="shared" si="70"/>
        <v>1399060</v>
      </c>
      <c r="O184" s="2">
        <v>1399060</v>
      </c>
      <c r="P184" s="500"/>
      <c r="Q184" s="2">
        <f t="shared" si="97"/>
        <v>1399060</v>
      </c>
    </row>
    <row r="185" spans="1:17" ht="36.75" customHeight="1" x14ac:dyDescent="0.25">
      <c r="A185" s="583" t="s">
        <v>599</v>
      </c>
      <c r="B185" s="583"/>
      <c r="C185" s="495"/>
      <c r="D185" s="289">
        <v>52</v>
      </c>
      <c r="E185" s="289">
        <v>0</v>
      </c>
      <c r="F185" s="289">
        <v>852</v>
      </c>
      <c r="G185" s="1" t="s">
        <v>0</v>
      </c>
      <c r="H185" s="1" t="s">
        <v>7</v>
      </c>
      <c r="I185" s="1" t="s">
        <v>363</v>
      </c>
      <c r="J185" s="12"/>
      <c r="K185" s="2">
        <f t="shared" ref="K185:O186" si="100">K186</f>
        <v>836736</v>
      </c>
      <c r="L185" s="2">
        <f t="shared" si="100"/>
        <v>836736</v>
      </c>
      <c r="M185" s="2"/>
      <c r="N185" s="2">
        <f t="shared" ref="N185:N248" si="101">L185+M185</f>
        <v>836736</v>
      </c>
      <c r="O185" s="2">
        <f t="shared" si="100"/>
        <v>836736</v>
      </c>
      <c r="P185" s="17"/>
      <c r="Q185" s="2">
        <f t="shared" si="97"/>
        <v>836736</v>
      </c>
    </row>
    <row r="186" spans="1:17" x14ac:dyDescent="0.25">
      <c r="A186" s="17"/>
      <c r="B186" s="497" t="s">
        <v>108</v>
      </c>
      <c r="C186" s="497"/>
      <c r="D186" s="289">
        <v>52</v>
      </c>
      <c r="E186" s="289">
        <v>0</v>
      </c>
      <c r="F186" s="289">
        <v>852</v>
      </c>
      <c r="G186" s="1" t="s">
        <v>0</v>
      </c>
      <c r="H186" s="1" t="s">
        <v>7</v>
      </c>
      <c r="I186" s="1" t="s">
        <v>363</v>
      </c>
      <c r="J186" s="1" t="s">
        <v>109</v>
      </c>
      <c r="K186" s="2">
        <f t="shared" si="100"/>
        <v>836736</v>
      </c>
      <c r="L186" s="2">
        <f t="shared" si="100"/>
        <v>836736</v>
      </c>
      <c r="M186" s="2"/>
      <c r="N186" s="2">
        <f t="shared" si="101"/>
        <v>836736</v>
      </c>
      <c r="O186" s="2">
        <f t="shared" si="100"/>
        <v>836736</v>
      </c>
      <c r="P186" s="17"/>
      <c r="Q186" s="2">
        <f t="shared" si="97"/>
        <v>836736</v>
      </c>
    </row>
    <row r="187" spans="1:17" ht="24" x14ac:dyDescent="0.25">
      <c r="A187" s="492"/>
      <c r="B187" s="497" t="s">
        <v>146</v>
      </c>
      <c r="C187" s="497"/>
      <c r="D187" s="289">
        <v>52</v>
      </c>
      <c r="E187" s="289">
        <v>0</v>
      </c>
      <c r="F187" s="289">
        <v>852</v>
      </c>
      <c r="G187" s="1" t="s">
        <v>0</v>
      </c>
      <c r="H187" s="1" t="s">
        <v>7</v>
      </c>
      <c r="I187" s="1" t="s">
        <v>363</v>
      </c>
      <c r="J187" s="1" t="s">
        <v>110</v>
      </c>
      <c r="K187" s="2">
        <f>'6 Вед15'!J245</f>
        <v>836736</v>
      </c>
      <c r="L187" s="2">
        <v>836736</v>
      </c>
      <c r="M187" s="2"/>
      <c r="N187" s="2">
        <f t="shared" si="101"/>
        <v>836736</v>
      </c>
      <c r="O187" s="2">
        <v>836736</v>
      </c>
      <c r="P187" s="17"/>
      <c r="Q187" s="2">
        <f t="shared" si="97"/>
        <v>836736</v>
      </c>
    </row>
    <row r="188" spans="1:17" ht="25.5" customHeight="1" x14ac:dyDescent="0.25">
      <c r="A188" s="583" t="s">
        <v>147</v>
      </c>
      <c r="B188" s="583"/>
      <c r="C188" s="495"/>
      <c r="D188" s="289">
        <v>52</v>
      </c>
      <c r="E188" s="289">
        <v>0</v>
      </c>
      <c r="F188" s="289">
        <v>852</v>
      </c>
      <c r="G188" s="1" t="s">
        <v>0</v>
      </c>
      <c r="H188" s="1" t="s">
        <v>4</v>
      </c>
      <c r="I188" s="1" t="s">
        <v>361</v>
      </c>
      <c r="J188" s="12"/>
      <c r="K188" s="2">
        <f t="shared" ref="K188:O189" si="102">K189</f>
        <v>93000</v>
      </c>
      <c r="L188" s="2">
        <f t="shared" si="102"/>
        <v>87000</v>
      </c>
      <c r="M188" s="2"/>
      <c r="N188" s="2">
        <f t="shared" si="101"/>
        <v>87000</v>
      </c>
      <c r="O188" s="2">
        <f t="shared" si="102"/>
        <v>87000</v>
      </c>
      <c r="P188" s="17"/>
      <c r="Q188" s="2">
        <f t="shared" si="97"/>
        <v>87000</v>
      </c>
    </row>
    <row r="189" spans="1:17" x14ac:dyDescent="0.25">
      <c r="A189" s="17"/>
      <c r="B189" s="497" t="s">
        <v>108</v>
      </c>
      <c r="C189" s="497"/>
      <c r="D189" s="289">
        <v>52</v>
      </c>
      <c r="E189" s="289">
        <v>0</v>
      </c>
      <c r="F189" s="289">
        <v>852</v>
      </c>
      <c r="G189" s="1" t="s">
        <v>0</v>
      </c>
      <c r="H189" s="1" t="s">
        <v>4</v>
      </c>
      <c r="I189" s="1" t="s">
        <v>361</v>
      </c>
      <c r="J189" s="1" t="s">
        <v>109</v>
      </c>
      <c r="K189" s="2">
        <f t="shared" si="102"/>
        <v>93000</v>
      </c>
      <c r="L189" s="2">
        <f t="shared" si="102"/>
        <v>87000</v>
      </c>
      <c r="M189" s="2"/>
      <c r="N189" s="2">
        <f t="shared" si="101"/>
        <v>87000</v>
      </c>
      <c r="O189" s="2">
        <f t="shared" si="102"/>
        <v>87000</v>
      </c>
      <c r="P189" s="17"/>
      <c r="Q189" s="2">
        <f t="shared" si="97"/>
        <v>87000</v>
      </c>
    </row>
    <row r="190" spans="1:17" ht="24" x14ac:dyDescent="0.25">
      <c r="A190" s="492"/>
      <c r="B190" s="497" t="s">
        <v>146</v>
      </c>
      <c r="C190" s="497"/>
      <c r="D190" s="289">
        <v>52</v>
      </c>
      <c r="E190" s="289">
        <v>0</v>
      </c>
      <c r="F190" s="289">
        <v>852</v>
      </c>
      <c r="G190" s="1" t="s">
        <v>0</v>
      </c>
      <c r="H190" s="1" t="s">
        <v>4</v>
      </c>
      <c r="I190" s="1" t="s">
        <v>361</v>
      </c>
      <c r="J190" s="1" t="s">
        <v>110</v>
      </c>
      <c r="K190" s="2">
        <f>'6 Вед15'!J241</f>
        <v>93000</v>
      </c>
      <c r="L190" s="2">
        <v>87000</v>
      </c>
      <c r="M190" s="2"/>
      <c r="N190" s="2">
        <f t="shared" si="101"/>
        <v>87000</v>
      </c>
      <c r="O190" s="2">
        <v>87000</v>
      </c>
      <c r="P190" s="17"/>
      <c r="Q190" s="2">
        <f t="shared" si="97"/>
        <v>87000</v>
      </c>
    </row>
    <row r="191" spans="1:17" ht="46.5" customHeight="1" x14ac:dyDescent="0.25">
      <c r="A191" s="591" t="s">
        <v>3</v>
      </c>
      <c r="B191" s="591"/>
      <c r="C191" s="497"/>
      <c r="D191" s="289">
        <v>52</v>
      </c>
      <c r="E191" s="289">
        <v>0</v>
      </c>
      <c r="F191" s="289">
        <v>852</v>
      </c>
      <c r="G191" s="1" t="s">
        <v>0</v>
      </c>
      <c r="H191" s="1" t="s">
        <v>7</v>
      </c>
      <c r="I191" s="1" t="s">
        <v>362</v>
      </c>
      <c r="J191" s="1"/>
      <c r="K191" s="2">
        <f t="shared" ref="K191:O191" si="103">K192+K194+K196+K198</f>
        <v>7634300</v>
      </c>
      <c r="L191" s="2">
        <f t="shared" si="103"/>
        <v>7732600</v>
      </c>
      <c r="M191" s="2"/>
      <c r="N191" s="2">
        <f t="shared" si="101"/>
        <v>7732600</v>
      </c>
      <c r="O191" s="2">
        <f t="shared" si="103"/>
        <v>7732600</v>
      </c>
      <c r="P191" s="17"/>
      <c r="Q191" s="2">
        <f t="shared" si="97"/>
        <v>7732600</v>
      </c>
    </row>
    <row r="192" spans="1:17" ht="41.25" customHeight="1" x14ac:dyDescent="0.25">
      <c r="A192" s="492"/>
      <c r="B192" s="497" t="s">
        <v>22</v>
      </c>
      <c r="C192" s="492"/>
      <c r="D192" s="289">
        <v>52</v>
      </c>
      <c r="E192" s="289">
        <v>0</v>
      </c>
      <c r="F192" s="289">
        <v>852</v>
      </c>
      <c r="G192" s="20" t="s">
        <v>0</v>
      </c>
      <c r="H192" s="20" t="s">
        <v>1</v>
      </c>
      <c r="I192" s="20" t="s">
        <v>362</v>
      </c>
      <c r="J192" s="1" t="s">
        <v>24</v>
      </c>
      <c r="K192" s="2">
        <f t="shared" ref="K192:O192" si="104">K193</f>
        <v>420900</v>
      </c>
      <c r="L192" s="2">
        <f t="shared" si="104"/>
        <v>420900</v>
      </c>
      <c r="M192" s="2"/>
      <c r="N192" s="2">
        <f t="shared" si="101"/>
        <v>420900</v>
      </c>
      <c r="O192" s="2">
        <f t="shared" si="104"/>
        <v>420900</v>
      </c>
      <c r="P192" s="17"/>
      <c r="Q192" s="2">
        <f t="shared" si="97"/>
        <v>420900</v>
      </c>
    </row>
    <row r="193" spans="1:17" ht="15" customHeight="1" x14ac:dyDescent="0.25">
      <c r="A193" s="17"/>
      <c r="B193" s="497" t="s">
        <v>25</v>
      </c>
      <c r="C193" s="497"/>
      <c r="D193" s="289">
        <v>52</v>
      </c>
      <c r="E193" s="289">
        <v>0</v>
      </c>
      <c r="F193" s="289">
        <v>852</v>
      </c>
      <c r="G193" s="20" t="s">
        <v>0</v>
      </c>
      <c r="H193" s="20" t="s">
        <v>1</v>
      </c>
      <c r="I193" s="20" t="s">
        <v>362</v>
      </c>
      <c r="J193" s="1" t="s">
        <v>26</v>
      </c>
      <c r="K193" s="2">
        <f>'6 Вед15'!J262</f>
        <v>420900</v>
      </c>
      <c r="L193" s="2">
        <v>420900</v>
      </c>
      <c r="M193" s="2"/>
      <c r="N193" s="2">
        <f t="shared" si="101"/>
        <v>420900</v>
      </c>
      <c r="O193" s="2">
        <v>420900</v>
      </c>
      <c r="P193" s="17"/>
      <c r="Q193" s="2">
        <f t="shared" si="97"/>
        <v>420900</v>
      </c>
    </row>
    <row r="194" spans="1:17" ht="15" customHeight="1" x14ac:dyDescent="0.25">
      <c r="A194" s="17"/>
      <c r="B194" s="492" t="s">
        <v>28</v>
      </c>
      <c r="C194" s="497"/>
      <c r="D194" s="289">
        <v>52</v>
      </c>
      <c r="E194" s="289">
        <v>0</v>
      </c>
      <c r="F194" s="289">
        <v>852</v>
      </c>
      <c r="G194" s="20" t="s">
        <v>0</v>
      </c>
      <c r="H194" s="20" t="s">
        <v>1</v>
      </c>
      <c r="I194" s="20" t="s">
        <v>362</v>
      </c>
      <c r="J194" s="1" t="s">
        <v>29</v>
      </c>
      <c r="K194" s="2">
        <f t="shared" ref="K194:O194" si="105">K195</f>
        <v>237100</v>
      </c>
      <c r="L194" s="2">
        <f t="shared" si="105"/>
        <v>237100</v>
      </c>
      <c r="M194" s="2"/>
      <c r="N194" s="2">
        <f t="shared" si="101"/>
        <v>237100</v>
      </c>
      <c r="O194" s="2">
        <f t="shared" si="105"/>
        <v>237100</v>
      </c>
      <c r="P194" s="17"/>
      <c r="Q194" s="2">
        <f t="shared" si="97"/>
        <v>237100</v>
      </c>
    </row>
    <row r="195" spans="1:17" ht="25.5" customHeight="1" x14ac:dyDescent="0.25">
      <c r="A195" s="17"/>
      <c r="B195" s="492" t="s">
        <v>30</v>
      </c>
      <c r="C195" s="492"/>
      <c r="D195" s="289">
        <v>52</v>
      </c>
      <c r="E195" s="289">
        <v>0</v>
      </c>
      <c r="F195" s="289">
        <v>852</v>
      </c>
      <c r="G195" s="20" t="s">
        <v>0</v>
      </c>
      <c r="H195" s="20" t="s">
        <v>1</v>
      </c>
      <c r="I195" s="20" t="s">
        <v>362</v>
      </c>
      <c r="J195" s="1" t="s">
        <v>31</v>
      </c>
      <c r="K195" s="2">
        <f>'6 Вед15'!J264</f>
        <v>237100</v>
      </c>
      <c r="L195" s="2">
        <v>237100</v>
      </c>
      <c r="M195" s="2"/>
      <c r="N195" s="2">
        <f t="shared" si="101"/>
        <v>237100</v>
      </c>
      <c r="O195" s="2">
        <v>237100</v>
      </c>
      <c r="P195" s="17"/>
      <c r="Q195" s="2">
        <f t="shared" si="97"/>
        <v>237100</v>
      </c>
    </row>
    <row r="196" spans="1:17" ht="15" customHeight="1" x14ac:dyDescent="0.25">
      <c r="A196" s="17"/>
      <c r="B196" s="492" t="s">
        <v>28</v>
      </c>
      <c r="C196" s="497"/>
      <c r="D196" s="289">
        <v>52</v>
      </c>
      <c r="E196" s="289">
        <v>0</v>
      </c>
      <c r="F196" s="289">
        <v>852</v>
      </c>
      <c r="G196" s="1" t="s">
        <v>149</v>
      </c>
      <c r="H196" s="1" t="s">
        <v>7</v>
      </c>
      <c r="I196" s="1" t="s">
        <v>362</v>
      </c>
      <c r="J196" s="1" t="s">
        <v>29</v>
      </c>
      <c r="K196" s="2">
        <f t="shared" ref="K196:O196" si="106">K197</f>
        <v>1795108</v>
      </c>
      <c r="L196" s="2">
        <f t="shared" si="106"/>
        <v>1795108</v>
      </c>
      <c r="M196" s="2"/>
      <c r="N196" s="2">
        <f t="shared" si="101"/>
        <v>1795108</v>
      </c>
      <c r="O196" s="2">
        <f t="shared" si="106"/>
        <v>1795108</v>
      </c>
      <c r="P196" s="17"/>
      <c r="Q196" s="2">
        <f t="shared" si="97"/>
        <v>1795108</v>
      </c>
    </row>
    <row r="197" spans="1:17" ht="24" x14ac:dyDescent="0.25">
      <c r="A197" s="17"/>
      <c r="B197" s="492" t="s">
        <v>30</v>
      </c>
      <c r="C197" s="492"/>
      <c r="D197" s="289">
        <v>52</v>
      </c>
      <c r="E197" s="289">
        <v>0</v>
      </c>
      <c r="F197" s="289">
        <v>852</v>
      </c>
      <c r="G197" s="1" t="s">
        <v>149</v>
      </c>
      <c r="H197" s="1" t="s">
        <v>7</v>
      </c>
      <c r="I197" s="1" t="s">
        <v>362</v>
      </c>
      <c r="J197" s="1" t="s">
        <v>31</v>
      </c>
      <c r="K197" s="2">
        <f>'6 Вед15'!J248</f>
        <v>1795108</v>
      </c>
      <c r="L197" s="2">
        <v>1795108</v>
      </c>
      <c r="M197" s="2"/>
      <c r="N197" s="2">
        <f t="shared" si="101"/>
        <v>1795108</v>
      </c>
      <c r="O197" s="2">
        <v>1795108</v>
      </c>
      <c r="P197" s="17"/>
      <c r="Q197" s="2">
        <f t="shared" si="97"/>
        <v>1795108</v>
      </c>
    </row>
    <row r="198" spans="1:17" x14ac:dyDescent="0.25">
      <c r="A198" s="315"/>
      <c r="B198" s="497" t="s">
        <v>108</v>
      </c>
      <c r="C198" s="497"/>
      <c r="D198" s="289">
        <v>52</v>
      </c>
      <c r="E198" s="289">
        <v>0</v>
      </c>
      <c r="F198" s="289">
        <v>852</v>
      </c>
      <c r="G198" s="1" t="s">
        <v>0</v>
      </c>
      <c r="H198" s="1" t="s">
        <v>7</v>
      </c>
      <c r="I198" s="1" t="s">
        <v>362</v>
      </c>
      <c r="J198" s="1" t="s">
        <v>109</v>
      </c>
      <c r="K198" s="2">
        <f t="shared" ref="K198:O198" si="107">K199</f>
        <v>5181192</v>
      </c>
      <c r="L198" s="2">
        <f t="shared" si="107"/>
        <v>5279492</v>
      </c>
      <c r="M198" s="2"/>
      <c r="N198" s="2">
        <f t="shared" si="101"/>
        <v>5279492</v>
      </c>
      <c r="O198" s="2">
        <f t="shared" si="107"/>
        <v>5279492</v>
      </c>
      <c r="P198" s="17"/>
      <c r="Q198" s="2">
        <f t="shared" si="97"/>
        <v>5279492</v>
      </c>
    </row>
    <row r="199" spans="1:17" ht="24" x14ac:dyDescent="0.25">
      <c r="A199" s="315"/>
      <c r="B199" s="497" t="s">
        <v>379</v>
      </c>
      <c r="C199" s="497"/>
      <c r="D199" s="289">
        <v>52</v>
      </c>
      <c r="E199" s="289">
        <v>0</v>
      </c>
      <c r="F199" s="289">
        <v>852</v>
      </c>
      <c r="G199" s="1" t="s">
        <v>0</v>
      </c>
      <c r="H199" s="1" t="s">
        <v>7</v>
      </c>
      <c r="I199" s="1" t="s">
        <v>362</v>
      </c>
      <c r="J199" s="1" t="s">
        <v>9</v>
      </c>
      <c r="K199" s="2">
        <f>'6 Вед15'!J250</f>
        <v>5181192</v>
      </c>
      <c r="L199" s="2">
        <v>5279492</v>
      </c>
      <c r="M199" s="2"/>
      <c r="N199" s="2">
        <f t="shared" si="101"/>
        <v>5279492</v>
      </c>
      <c r="O199" s="2">
        <v>5279492</v>
      </c>
      <c r="P199" s="17"/>
      <c r="Q199" s="2">
        <f t="shared" si="97"/>
        <v>5279492</v>
      </c>
    </row>
    <row r="200" spans="1:17" ht="12" customHeight="1" x14ac:dyDescent="0.25">
      <c r="A200" s="583" t="s">
        <v>128</v>
      </c>
      <c r="B200" s="583"/>
      <c r="C200" s="492"/>
      <c r="D200" s="289">
        <v>52</v>
      </c>
      <c r="E200" s="289">
        <v>0</v>
      </c>
      <c r="F200" s="289">
        <v>852</v>
      </c>
      <c r="G200" s="20" t="s">
        <v>37</v>
      </c>
      <c r="H200" s="1" t="s">
        <v>18</v>
      </c>
      <c r="I200" s="1" t="s">
        <v>343</v>
      </c>
      <c r="J200" s="1"/>
      <c r="K200" s="2">
        <f t="shared" ref="K200:O201" si="108">K201</f>
        <v>1110000</v>
      </c>
      <c r="L200" s="2">
        <f t="shared" si="108"/>
        <v>1421000</v>
      </c>
      <c r="M200" s="2"/>
      <c r="N200" s="2">
        <f t="shared" si="101"/>
        <v>1421000</v>
      </c>
      <c r="O200" s="2">
        <f t="shared" si="108"/>
        <v>1421000</v>
      </c>
      <c r="P200" s="17"/>
      <c r="Q200" s="2">
        <f t="shared" si="97"/>
        <v>1421000</v>
      </c>
    </row>
    <row r="201" spans="1:17" ht="23.25" customHeight="1" x14ac:dyDescent="0.25">
      <c r="A201" s="492"/>
      <c r="B201" s="492" t="s">
        <v>95</v>
      </c>
      <c r="C201" s="492"/>
      <c r="D201" s="289">
        <v>52</v>
      </c>
      <c r="E201" s="289">
        <v>0</v>
      </c>
      <c r="F201" s="289">
        <v>852</v>
      </c>
      <c r="G201" s="1" t="s">
        <v>37</v>
      </c>
      <c r="H201" s="1" t="s">
        <v>18</v>
      </c>
      <c r="I201" s="1" t="s">
        <v>343</v>
      </c>
      <c r="J201" s="1" t="s">
        <v>90</v>
      </c>
      <c r="K201" s="2">
        <f t="shared" si="108"/>
        <v>1110000</v>
      </c>
      <c r="L201" s="2">
        <f t="shared" si="108"/>
        <v>1421000</v>
      </c>
      <c r="M201" s="2"/>
      <c r="N201" s="2">
        <f t="shared" si="101"/>
        <v>1421000</v>
      </c>
      <c r="O201" s="2">
        <f t="shared" si="108"/>
        <v>1421000</v>
      </c>
      <c r="P201" s="17"/>
      <c r="Q201" s="2">
        <f t="shared" si="97"/>
        <v>1421000</v>
      </c>
    </row>
    <row r="202" spans="1:17" x14ac:dyDescent="0.25">
      <c r="A202" s="497"/>
      <c r="B202" s="497" t="s">
        <v>130</v>
      </c>
      <c r="C202" s="497"/>
      <c r="D202" s="289">
        <v>52</v>
      </c>
      <c r="E202" s="289">
        <v>0</v>
      </c>
      <c r="F202" s="289">
        <v>852</v>
      </c>
      <c r="G202" s="1" t="s">
        <v>37</v>
      </c>
      <c r="H202" s="1" t="s">
        <v>18</v>
      </c>
      <c r="I202" s="1" t="s">
        <v>343</v>
      </c>
      <c r="J202" s="1" t="s">
        <v>131</v>
      </c>
      <c r="K202" s="2">
        <f>'6 Вед15'!J213</f>
        <v>1110000</v>
      </c>
      <c r="L202" s="2">
        <v>1421000</v>
      </c>
      <c r="M202" s="2"/>
      <c r="N202" s="2">
        <f t="shared" si="101"/>
        <v>1421000</v>
      </c>
      <c r="O202" s="2">
        <v>1421000</v>
      </c>
      <c r="P202" s="17"/>
      <c r="Q202" s="2">
        <f t="shared" si="97"/>
        <v>1421000</v>
      </c>
    </row>
    <row r="203" spans="1:17" ht="24.75" customHeight="1" x14ac:dyDescent="0.25">
      <c r="A203" s="583" t="s">
        <v>132</v>
      </c>
      <c r="B203" s="583"/>
      <c r="C203" s="492"/>
      <c r="D203" s="289">
        <v>52</v>
      </c>
      <c r="E203" s="289">
        <v>0</v>
      </c>
      <c r="F203" s="289">
        <v>852</v>
      </c>
      <c r="G203" s="20" t="s">
        <v>37</v>
      </c>
      <c r="H203" s="20" t="s">
        <v>18</v>
      </c>
      <c r="I203" s="20" t="s">
        <v>359</v>
      </c>
      <c r="J203" s="1"/>
      <c r="K203" s="2">
        <f t="shared" ref="K203:O204" si="109">K204</f>
        <v>1038500</v>
      </c>
      <c r="L203" s="2">
        <f t="shared" si="109"/>
        <v>727500</v>
      </c>
      <c r="M203" s="2"/>
      <c r="N203" s="2">
        <f t="shared" si="101"/>
        <v>727500</v>
      </c>
      <c r="O203" s="2">
        <f t="shared" si="109"/>
        <v>727500</v>
      </c>
      <c r="P203" s="17"/>
      <c r="Q203" s="2">
        <f t="shared" si="97"/>
        <v>727500</v>
      </c>
    </row>
    <row r="204" spans="1:17" ht="24" x14ac:dyDescent="0.25">
      <c r="A204" s="492"/>
      <c r="B204" s="492" t="s">
        <v>95</v>
      </c>
      <c r="C204" s="492"/>
      <c r="D204" s="289">
        <v>52</v>
      </c>
      <c r="E204" s="289">
        <v>0</v>
      </c>
      <c r="F204" s="289">
        <v>852</v>
      </c>
      <c r="G204" s="1" t="s">
        <v>37</v>
      </c>
      <c r="H204" s="1" t="s">
        <v>18</v>
      </c>
      <c r="I204" s="20" t="s">
        <v>359</v>
      </c>
      <c r="J204" s="1" t="s">
        <v>90</v>
      </c>
      <c r="K204" s="2">
        <f t="shared" si="109"/>
        <v>1038500</v>
      </c>
      <c r="L204" s="2">
        <f t="shared" si="109"/>
        <v>727500</v>
      </c>
      <c r="M204" s="2"/>
      <c r="N204" s="2">
        <f t="shared" si="101"/>
        <v>727500</v>
      </c>
      <c r="O204" s="2">
        <f t="shared" si="109"/>
        <v>727500</v>
      </c>
      <c r="P204" s="17"/>
      <c r="Q204" s="2">
        <f t="shared" si="97"/>
        <v>727500</v>
      </c>
    </row>
    <row r="205" spans="1:17" x14ac:dyDescent="0.25">
      <c r="A205" s="497"/>
      <c r="B205" s="497" t="s">
        <v>130</v>
      </c>
      <c r="C205" s="497"/>
      <c r="D205" s="289">
        <v>52</v>
      </c>
      <c r="E205" s="289">
        <v>0</v>
      </c>
      <c r="F205" s="289">
        <v>852</v>
      </c>
      <c r="G205" s="1" t="s">
        <v>37</v>
      </c>
      <c r="H205" s="1" t="s">
        <v>18</v>
      </c>
      <c r="I205" s="20" t="s">
        <v>359</v>
      </c>
      <c r="J205" s="1" t="s">
        <v>131</v>
      </c>
      <c r="K205" s="2">
        <f>'6 Вед15'!J194+'6 Вед15'!J216</f>
        <v>1038500</v>
      </c>
      <c r="L205" s="2">
        <v>727500</v>
      </c>
      <c r="M205" s="2"/>
      <c r="N205" s="2">
        <f t="shared" si="101"/>
        <v>727500</v>
      </c>
      <c r="O205" s="2">
        <v>727500</v>
      </c>
      <c r="P205" s="17"/>
      <c r="Q205" s="2">
        <f t="shared" si="97"/>
        <v>727500</v>
      </c>
    </row>
    <row r="206" spans="1:17" ht="24" customHeight="1" x14ac:dyDescent="0.25">
      <c r="A206" s="583" t="s">
        <v>142</v>
      </c>
      <c r="B206" s="583"/>
      <c r="C206" s="492"/>
      <c r="D206" s="289">
        <v>52</v>
      </c>
      <c r="E206" s="289">
        <v>0</v>
      </c>
      <c r="F206" s="289">
        <v>852</v>
      </c>
      <c r="G206" s="1" t="s">
        <v>37</v>
      </c>
      <c r="H206" s="1" t="s">
        <v>37</v>
      </c>
      <c r="I206" s="1" t="s">
        <v>558</v>
      </c>
      <c r="J206" s="1"/>
      <c r="K206" s="2">
        <f t="shared" ref="K206:O207" si="110">K207</f>
        <v>122200</v>
      </c>
      <c r="L206" s="2">
        <f t="shared" si="110"/>
        <v>122200</v>
      </c>
      <c r="M206" s="2"/>
      <c r="N206" s="2">
        <f t="shared" si="101"/>
        <v>122200</v>
      </c>
      <c r="O206" s="2">
        <f t="shared" si="110"/>
        <v>122200</v>
      </c>
      <c r="P206" s="17"/>
      <c r="Q206" s="2">
        <f t="shared" si="97"/>
        <v>122200</v>
      </c>
    </row>
    <row r="207" spans="1:17" ht="12.75" customHeight="1" x14ac:dyDescent="0.25">
      <c r="A207" s="17"/>
      <c r="B207" s="492" t="s">
        <v>28</v>
      </c>
      <c r="C207" s="497"/>
      <c r="D207" s="289">
        <v>52</v>
      </c>
      <c r="E207" s="289">
        <v>0</v>
      </c>
      <c r="F207" s="289">
        <v>852</v>
      </c>
      <c r="G207" s="1" t="s">
        <v>37</v>
      </c>
      <c r="H207" s="1" t="s">
        <v>37</v>
      </c>
      <c r="I207" s="1" t="s">
        <v>558</v>
      </c>
      <c r="J207" s="1" t="s">
        <v>29</v>
      </c>
      <c r="K207" s="2">
        <f t="shared" si="110"/>
        <v>122200</v>
      </c>
      <c r="L207" s="2">
        <f t="shared" si="110"/>
        <v>122200</v>
      </c>
      <c r="M207" s="2"/>
      <c r="N207" s="2">
        <f t="shared" si="101"/>
        <v>122200</v>
      </c>
      <c r="O207" s="2">
        <f t="shared" si="110"/>
        <v>122200</v>
      </c>
      <c r="P207" s="17"/>
      <c r="Q207" s="2">
        <f t="shared" si="97"/>
        <v>122200</v>
      </c>
    </row>
    <row r="208" spans="1:17" ht="26.25" customHeight="1" x14ac:dyDescent="0.25">
      <c r="A208" s="17"/>
      <c r="B208" s="492" t="s">
        <v>30</v>
      </c>
      <c r="C208" s="492"/>
      <c r="D208" s="289">
        <v>52</v>
      </c>
      <c r="E208" s="289">
        <v>0</v>
      </c>
      <c r="F208" s="289">
        <v>852</v>
      </c>
      <c r="G208" s="1" t="s">
        <v>37</v>
      </c>
      <c r="H208" s="1" t="s">
        <v>37</v>
      </c>
      <c r="I208" s="1" t="s">
        <v>558</v>
      </c>
      <c r="J208" s="1" t="s">
        <v>31</v>
      </c>
      <c r="K208" s="2">
        <f>'6 Вед15'!J220</f>
        <v>122200</v>
      </c>
      <c r="L208" s="2">
        <v>122200</v>
      </c>
      <c r="M208" s="2"/>
      <c r="N208" s="2">
        <f t="shared" si="101"/>
        <v>122200</v>
      </c>
      <c r="O208" s="2">
        <v>122200</v>
      </c>
      <c r="P208" s="17"/>
      <c r="Q208" s="2">
        <f t="shared" si="97"/>
        <v>122200</v>
      </c>
    </row>
    <row r="209" spans="1:18" ht="48.75" customHeight="1" x14ac:dyDescent="0.25">
      <c r="A209" s="583" t="s">
        <v>6</v>
      </c>
      <c r="B209" s="583"/>
      <c r="C209" s="497"/>
      <c r="D209" s="289">
        <v>52</v>
      </c>
      <c r="E209" s="289">
        <v>0</v>
      </c>
      <c r="F209" s="289">
        <v>852</v>
      </c>
      <c r="G209" s="1" t="s">
        <v>0</v>
      </c>
      <c r="H209" s="1" t="s">
        <v>7</v>
      </c>
      <c r="I209" s="1" t="s">
        <v>364</v>
      </c>
      <c r="J209" s="1"/>
      <c r="K209" s="2">
        <f t="shared" ref="K209:O210" si="111">K210</f>
        <v>158000</v>
      </c>
      <c r="L209" s="2">
        <f t="shared" si="111"/>
        <v>210100</v>
      </c>
      <c r="M209" s="2"/>
      <c r="N209" s="2">
        <f t="shared" si="101"/>
        <v>210100</v>
      </c>
      <c r="O209" s="2">
        <f t="shared" si="111"/>
        <v>203900</v>
      </c>
      <c r="P209" s="17"/>
      <c r="Q209" s="2">
        <f t="shared" si="97"/>
        <v>203900</v>
      </c>
    </row>
    <row r="210" spans="1:18" x14ac:dyDescent="0.25">
      <c r="A210" s="315"/>
      <c r="B210" s="497" t="s">
        <v>108</v>
      </c>
      <c r="C210" s="497"/>
      <c r="D210" s="289">
        <v>52</v>
      </c>
      <c r="E210" s="289">
        <v>0</v>
      </c>
      <c r="F210" s="289">
        <v>852</v>
      </c>
      <c r="G210" s="1" t="s">
        <v>0</v>
      </c>
      <c r="H210" s="1" t="s">
        <v>7</v>
      </c>
      <c r="I210" s="1" t="s">
        <v>364</v>
      </c>
      <c r="J210" s="1" t="s">
        <v>109</v>
      </c>
      <c r="K210" s="2">
        <f t="shared" si="111"/>
        <v>158000</v>
      </c>
      <c r="L210" s="2">
        <f t="shared" si="111"/>
        <v>210100</v>
      </c>
      <c r="M210" s="2"/>
      <c r="N210" s="2">
        <f t="shared" si="101"/>
        <v>210100</v>
      </c>
      <c r="O210" s="2">
        <f t="shared" si="111"/>
        <v>203900</v>
      </c>
      <c r="P210" s="17"/>
      <c r="Q210" s="2">
        <f t="shared" si="97"/>
        <v>203900</v>
      </c>
    </row>
    <row r="211" spans="1:18" ht="24" x14ac:dyDescent="0.25">
      <c r="A211" s="315"/>
      <c r="B211" s="497" t="s">
        <v>379</v>
      </c>
      <c r="C211" s="497"/>
      <c r="D211" s="289">
        <v>52</v>
      </c>
      <c r="E211" s="289">
        <v>0</v>
      </c>
      <c r="F211" s="289">
        <v>852</v>
      </c>
      <c r="G211" s="1" t="s">
        <v>0</v>
      </c>
      <c r="H211" s="1" t="s">
        <v>7</v>
      </c>
      <c r="I211" s="1" t="s">
        <v>364</v>
      </c>
      <c r="J211" s="1" t="s">
        <v>9</v>
      </c>
      <c r="K211" s="2">
        <f>'6 Вед15'!J253</f>
        <v>158000</v>
      </c>
      <c r="L211" s="2">
        <v>210100</v>
      </c>
      <c r="M211" s="2"/>
      <c r="N211" s="2">
        <f t="shared" si="101"/>
        <v>210100</v>
      </c>
      <c r="O211" s="2">
        <v>203900</v>
      </c>
      <c r="P211" s="17"/>
      <c r="Q211" s="2">
        <f t="shared" si="97"/>
        <v>203900</v>
      </c>
    </row>
    <row r="212" spans="1:18" ht="24.75" customHeight="1" x14ac:dyDescent="0.25">
      <c r="A212" s="593" t="s">
        <v>668</v>
      </c>
      <c r="B212" s="593"/>
      <c r="C212" s="494"/>
      <c r="D212" s="499">
        <v>53</v>
      </c>
      <c r="E212" s="289"/>
      <c r="F212" s="499"/>
      <c r="G212" s="39"/>
      <c r="H212" s="39"/>
      <c r="I212" s="39"/>
      <c r="J212" s="7"/>
      <c r="K212" s="9">
        <f t="shared" ref="K212" si="112">K213</f>
        <v>19120517</v>
      </c>
      <c r="L212" s="9">
        <v>23312299</v>
      </c>
      <c r="M212" s="9">
        <v>-1278900</v>
      </c>
      <c r="N212" s="9">
        <f t="shared" si="101"/>
        <v>22033399</v>
      </c>
      <c r="O212" s="9">
        <v>19326467</v>
      </c>
      <c r="P212" s="504">
        <v>-883900</v>
      </c>
      <c r="Q212" s="9">
        <f t="shared" si="97"/>
        <v>18442567</v>
      </c>
    </row>
    <row r="213" spans="1:18" x14ac:dyDescent="0.25">
      <c r="A213" s="589" t="s">
        <v>156</v>
      </c>
      <c r="B213" s="589"/>
      <c r="C213" s="18"/>
      <c r="D213" s="18">
        <v>53</v>
      </c>
      <c r="E213" s="18">
        <v>0</v>
      </c>
      <c r="F213" s="18">
        <v>853</v>
      </c>
      <c r="G213" s="1"/>
      <c r="H213" s="1"/>
      <c r="I213" s="1"/>
      <c r="J213" s="1"/>
      <c r="K213" s="321">
        <f>K214+K222+K225+K228+K231+K234</f>
        <v>19120517</v>
      </c>
      <c r="L213" s="14">
        <v>23312299</v>
      </c>
      <c r="M213" s="14">
        <v>-1278900</v>
      </c>
      <c r="N213" s="14">
        <f t="shared" si="101"/>
        <v>22033399</v>
      </c>
      <c r="O213" s="14">
        <v>19326467</v>
      </c>
      <c r="P213" s="505">
        <v>-883900</v>
      </c>
      <c r="Q213" s="14">
        <f t="shared" si="97"/>
        <v>18442567</v>
      </c>
      <c r="R213" s="15"/>
    </row>
    <row r="214" spans="1:18" ht="27" customHeight="1" x14ac:dyDescent="0.25">
      <c r="A214" s="583" t="s">
        <v>27</v>
      </c>
      <c r="B214" s="583"/>
      <c r="C214" s="289"/>
      <c r="D214" s="289">
        <v>53</v>
      </c>
      <c r="E214" s="289">
        <v>0</v>
      </c>
      <c r="F214" s="74">
        <v>853</v>
      </c>
      <c r="G214" s="1" t="s">
        <v>23</v>
      </c>
      <c r="H214" s="1" t="s">
        <v>1</v>
      </c>
      <c r="I214" s="1" t="s">
        <v>562</v>
      </c>
      <c r="J214" s="1"/>
      <c r="K214" s="2">
        <f t="shared" ref="K214:O214" si="113">K215+K217+K219</f>
        <v>3735300</v>
      </c>
      <c r="L214" s="2">
        <f t="shared" si="113"/>
        <v>3420500</v>
      </c>
      <c r="M214" s="2"/>
      <c r="N214" s="2">
        <f t="shared" si="101"/>
        <v>3420500</v>
      </c>
      <c r="O214" s="2">
        <f t="shared" si="113"/>
        <v>3735300</v>
      </c>
      <c r="P214" s="17"/>
      <c r="Q214" s="2">
        <f t="shared" si="97"/>
        <v>3735300</v>
      </c>
    </row>
    <row r="215" spans="1:18" ht="36" customHeight="1" x14ac:dyDescent="0.25">
      <c r="A215" s="17"/>
      <c r="B215" s="497" t="s">
        <v>22</v>
      </c>
      <c r="C215" s="289"/>
      <c r="D215" s="289">
        <v>53</v>
      </c>
      <c r="E215" s="289">
        <v>0</v>
      </c>
      <c r="F215" s="74">
        <v>853</v>
      </c>
      <c r="G215" s="1" t="s">
        <v>18</v>
      </c>
      <c r="H215" s="1" t="s">
        <v>1</v>
      </c>
      <c r="I215" s="1" t="s">
        <v>562</v>
      </c>
      <c r="J215" s="1" t="s">
        <v>24</v>
      </c>
      <c r="K215" s="2">
        <f t="shared" ref="K215:O215" si="114">K216</f>
        <v>3406500</v>
      </c>
      <c r="L215" s="2">
        <f t="shared" si="114"/>
        <v>3406500</v>
      </c>
      <c r="M215" s="2"/>
      <c r="N215" s="2">
        <f t="shared" si="101"/>
        <v>3406500</v>
      </c>
      <c r="O215" s="2">
        <f t="shared" si="114"/>
        <v>3406500</v>
      </c>
      <c r="P215" s="17"/>
      <c r="Q215" s="2">
        <f t="shared" si="97"/>
        <v>3406500</v>
      </c>
    </row>
    <row r="216" spans="1:18" ht="15.75" customHeight="1" x14ac:dyDescent="0.25">
      <c r="A216" s="17"/>
      <c r="B216" s="497" t="s">
        <v>25</v>
      </c>
      <c r="C216" s="289"/>
      <c r="D216" s="289">
        <v>53</v>
      </c>
      <c r="E216" s="289">
        <v>0</v>
      </c>
      <c r="F216" s="74">
        <v>853</v>
      </c>
      <c r="G216" s="1" t="s">
        <v>18</v>
      </c>
      <c r="H216" s="1" t="s">
        <v>1</v>
      </c>
      <c r="I216" s="1" t="s">
        <v>562</v>
      </c>
      <c r="J216" s="1" t="s">
        <v>26</v>
      </c>
      <c r="K216" s="2">
        <f>'6 Вед15'!J270</f>
        <v>3406500</v>
      </c>
      <c r="L216" s="2">
        <v>3406500</v>
      </c>
      <c r="M216" s="2"/>
      <c r="N216" s="2">
        <f t="shared" si="101"/>
        <v>3406500</v>
      </c>
      <c r="O216" s="2">
        <v>3406500</v>
      </c>
      <c r="P216" s="17"/>
      <c r="Q216" s="2">
        <f t="shared" si="97"/>
        <v>3406500</v>
      </c>
    </row>
    <row r="217" spans="1:18" ht="15.75" customHeight="1" x14ac:dyDescent="0.25">
      <c r="A217" s="17"/>
      <c r="B217" s="492" t="s">
        <v>28</v>
      </c>
      <c r="C217" s="289"/>
      <c r="D217" s="289">
        <v>53</v>
      </c>
      <c r="E217" s="289">
        <v>0</v>
      </c>
      <c r="F217" s="74">
        <v>853</v>
      </c>
      <c r="G217" s="1" t="s">
        <v>18</v>
      </c>
      <c r="H217" s="1" t="s">
        <v>1</v>
      </c>
      <c r="I217" s="1" t="s">
        <v>562</v>
      </c>
      <c r="J217" s="1" t="s">
        <v>29</v>
      </c>
      <c r="K217" s="2">
        <f>'6 Вед15'!J271</f>
        <v>314800</v>
      </c>
      <c r="L217" s="2">
        <f>'6 Вед15'!K271</f>
        <v>0</v>
      </c>
      <c r="M217" s="2"/>
      <c r="N217" s="2">
        <f t="shared" si="101"/>
        <v>0</v>
      </c>
      <c r="O217" s="2">
        <f>'6 Вед15'!L271</f>
        <v>314800</v>
      </c>
      <c r="P217" s="17"/>
      <c r="Q217" s="2">
        <f t="shared" si="97"/>
        <v>314800</v>
      </c>
    </row>
    <row r="218" spans="1:18" ht="25.5" customHeight="1" x14ac:dyDescent="0.25">
      <c r="A218" s="17"/>
      <c r="B218" s="492" t="s">
        <v>30</v>
      </c>
      <c r="C218" s="289"/>
      <c r="D218" s="289">
        <v>53</v>
      </c>
      <c r="E218" s="289">
        <v>0</v>
      </c>
      <c r="F218" s="74">
        <v>853</v>
      </c>
      <c r="G218" s="1" t="s">
        <v>18</v>
      </c>
      <c r="H218" s="1" t="s">
        <v>1</v>
      </c>
      <c r="I218" s="1" t="s">
        <v>562</v>
      </c>
      <c r="J218" s="1" t="s">
        <v>31</v>
      </c>
      <c r="K218" s="2">
        <f>'6 Вед15'!J272</f>
        <v>314800</v>
      </c>
      <c r="L218" s="2">
        <v>314800</v>
      </c>
      <c r="M218" s="2"/>
      <c r="N218" s="2">
        <f t="shared" si="101"/>
        <v>314800</v>
      </c>
      <c r="O218" s="2">
        <v>314800</v>
      </c>
      <c r="P218" s="17"/>
      <c r="Q218" s="2">
        <f t="shared" si="97"/>
        <v>314800</v>
      </c>
    </row>
    <row r="219" spans="1:18" ht="14.25" customHeight="1" x14ac:dyDescent="0.25">
      <c r="A219" s="17"/>
      <c r="B219" s="492" t="s">
        <v>32</v>
      </c>
      <c r="C219" s="289"/>
      <c r="D219" s="289">
        <v>53</v>
      </c>
      <c r="E219" s="289">
        <v>0</v>
      </c>
      <c r="F219" s="74">
        <v>853</v>
      </c>
      <c r="G219" s="1" t="s">
        <v>18</v>
      </c>
      <c r="H219" s="1" t="s">
        <v>1</v>
      </c>
      <c r="I219" s="1" t="s">
        <v>562</v>
      </c>
      <c r="J219" s="1" t="s">
        <v>33</v>
      </c>
      <c r="K219" s="2">
        <f>K220+K221</f>
        <v>14000</v>
      </c>
      <c r="L219" s="2">
        <f t="shared" ref="L219:O219" si="115">L220</f>
        <v>14000</v>
      </c>
      <c r="M219" s="2"/>
      <c r="N219" s="2">
        <f t="shared" si="101"/>
        <v>14000</v>
      </c>
      <c r="O219" s="2">
        <f t="shared" si="115"/>
        <v>14000</v>
      </c>
      <c r="P219" s="17"/>
      <c r="Q219" s="2">
        <f t="shared" si="97"/>
        <v>14000</v>
      </c>
    </row>
    <row r="220" spans="1:18" ht="14.25" customHeight="1" x14ac:dyDescent="0.25">
      <c r="A220" s="17"/>
      <c r="B220" s="492" t="s">
        <v>34</v>
      </c>
      <c r="C220" s="289"/>
      <c r="D220" s="289">
        <v>53</v>
      </c>
      <c r="E220" s="289">
        <v>0</v>
      </c>
      <c r="F220" s="74">
        <v>853</v>
      </c>
      <c r="G220" s="1" t="s">
        <v>18</v>
      </c>
      <c r="H220" s="1" t="s">
        <v>1</v>
      </c>
      <c r="I220" s="1" t="s">
        <v>562</v>
      </c>
      <c r="J220" s="1" t="s">
        <v>35</v>
      </c>
      <c r="K220" s="2">
        <f>'6 Вед15'!J274</f>
        <v>13870</v>
      </c>
      <c r="L220" s="2">
        <v>14000</v>
      </c>
      <c r="M220" s="2"/>
      <c r="N220" s="2">
        <f t="shared" si="101"/>
        <v>14000</v>
      </c>
      <c r="O220" s="2">
        <v>14000</v>
      </c>
      <c r="P220" s="17"/>
      <c r="Q220" s="2">
        <f t="shared" si="97"/>
        <v>14000</v>
      </c>
    </row>
    <row r="221" spans="1:18" ht="12.75" hidden="1" customHeight="1" x14ac:dyDescent="0.25">
      <c r="A221" s="17"/>
      <c r="B221" s="497" t="s">
        <v>596</v>
      </c>
      <c r="C221" s="289"/>
      <c r="D221" s="289">
        <v>53</v>
      </c>
      <c r="E221" s="289">
        <v>0</v>
      </c>
      <c r="F221" s="74">
        <v>853</v>
      </c>
      <c r="G221" s="1" t="s">
        <v>18</v>
      </c>
      <c r="H221" s="1" t="s">
        <v>1</v>
      </c>
      <c r="I221" s="1" t="s">
        <v>562</v>
      </c>
      <c r="J221" s="1" t="s">
        <v>36</v>
      </c>
      <c r="K221" s="2">
        <f>'6 Вед15'!J275</f>
        <v>130</v>
      </c>
      <c r="L221" s="2"/>
      <c r="M221" s="2"/>
      <c r="N221" s="2">
        <f t="shared" si="101"/>
        <v>0</v>
      </c>
      <c r="O221" s="2"/>
      <c r="P221" s="17"/>
      <c r="Q221" s="2">
        <f t="shared" si="97"/>
        <v>0</v>
      </c>
    </row>
    <row r="222" spans="1:18" ht="50.25" customHeight="1" x14ac:dyDescent="0.25">
      <c r="A222" s="583" t="s">
        <v>46</v>
      </c>
      <c r="B222" s="583"/>
      <c r="C222" s="289"/>
      <c r="D222" s="289">
        <v>53</v>
      </c>
      <c r="E222" s="289">
        <v>0</v>
      </c>
      <c r="F222" s="74">
        <v>853</v>
      </c>
      <c r="G222" s="1" t="s">
        <v>18</v>
      </c>
      <c r="H222" s="1" t="s">
        <v>45</v>
      </c>
      <c r="I222" s="1" t="s">
        <v>334</v>
      </c>
      <c r="J222" s="1"/>
      <c r="K222" s="2">
        <f t="shared" ref="K222:O223" si="116">K223</f>
        <v>200</v>
      </c>
      <c r="L222" s="2">
        <f t="shared" si="116"/>
        <v>200</v>
      </c>
      <c r="M222" s="2"/>
      <c r="N222" s="2">
        <f t="shared" si="101"/>
        <v>200</v>
      </c>
      <c r="O222" s="2">
        <f t="shared" si="116"/>
        <v>200</v>
      </c>
      <c r="P222" s="17"/>
      <c r="Q222" s="2">
        <f t="shared" si="97"/>
        <v>200</v>
      </c>
    </row>
    <row r="223" spans="1:18" x14ac:dyDescent="0.25">
      <c r="A223" s="17"/>
      <c r="B223" s="497" t="s">
        <v>158</v>
      </c>
      <c r="C223" s="497"/>
      <c r="D223" s="289">
        <v>53</v>
      </c>
      <c r="E223" s="289">
        <v>0</v>
      </c>
      <c r="F223" s="74">
        <v>853</v>
      </c>
      <c r="G223" s="1" t="s">
        <v>18</v>
      </c>
      <c r="H223" s="20" t="s">
        <v>45</v>
      </c>
      <c r="I223" s="20" t="s">
        <v>334</v>
      </c>
      <c r="J223" s="1" t="s">
        <v>159</v>
      </c>
      <c r="K223" s="2">
        <f t="shared" si="116"/>
        <v>200</v>
      </c>
      <c r="L223" s="2">
        <f t="shared" si="116"/>
        <v>200</v>
      </c>
      <c r="M223" s="2"/>
      <c r="N223" s="2">
        <f t="shared" si="101"/>
        <v>200</v>
      </c>
      <c r="O223" s="2">
        <f t="shared" si="116"/>
        <v>200</v>
      </c>
      <c r="P223" s="17"/>
      <c r="Q223" s="2">
        <f t="shared" si="97"/>
        <v>200</v>
      </c>
    </row>
    <row r="224" spans="1:18" x14ac:dyDescent="0.25">
      <c r="A224" s="17"/>
      <c r="B224" s="497" t="s">
        <v>160</v>
      </c>
      <c r="C224" s="497"/>
      <c r="D224" s="289">
        <v>53</v>
      </c>
      <c r="E224" s="289">
        <v>0</v>
      </c>
      <c r="F224" s="74">
        <v>853</v>
      </c>
      <c r="G224" s="1" t="s">
        <v>18</v>
      </c>
      <c r="H224" s="20" t="s">
        <v>45</v>
      </c>
      <c r="I224" s="20" t="s">
        <v>334</v>
      </c>
      <c r="J224" s="1" t="s">
        <v>161</v>
      </c>
      <c r="K224" s="2">
        <f>'6 Вед15'!J279</f>
        <v>200</v>
      </c>
      <c r="L224" s="2">
        <v>200</v>
      </c>
      <c r="M224" s="2"/>
      <c r="N224" s="2">
        <f t="shared" si="101"/>
        <v>200</v>
      </c>
      <c r="O224" s="2">
        <v>200</v>
      </c>
      <c r="P224" s="17"/>
      <c r="Q224" s="2">
        <f t="shared" si="97"/>
        <v>200</v>
      </c>
    </row>
    <row r="225" spans="1:17" ht="38.25" customHeight="1" x14ac:dyDescent="0.25">
      <c r="A225" s="583" t="s">
        <v>88</v>
      </c>
      <c r="B225" s="583"/>
      <c r="C225" s="492"/>
      <c r="D225" s="289">
        <v>53</v>
      </c>
      <c r="E225" s="289">
        <v>0</v>
      </c>
      <c r="F225" s="289">
        <v>853</v>
      </c>
      <c r="G225" s="1" t="s">
        <v>86</v>
      </c>
      <c r="H225" s="1" t="s">
        <v>18</v>
      </c>
      <c r="I225" s="1" t="s">
        <v>344</v>
      </c>
      <c r="J225" s="1"/>
      <c r="K225" s="2">
        <f t="shared" ref="K225:O226" si="117">K226</f>
        <v>95400</v>
      </c>
      <c r="L225" s="2">
        <f t="shared" si="117"/>
        <v>95400</v>
      </c>
      <c r="M225" s="2"/>
      <c r="N225" s="2">
        <f t="shared" si="101"/>
        <v>95400</v>
      </c>
      <c r="O225" s="2">
        <f t="shared" si="117"/>
        <v>95400</v>
      </c>
      <c r="P225" s="17"/>
      <c r="Q225" s="2">
        <f t="shared" si="97"/>
        <v>95400</v>
      </c>
    </row>
    <row r="226" spans="1:17" x14ac:dyDescent="0.25">
      <c r="A226" s="17"/>
      <c r="B226" s="492" t="s">
        <v>158</v>
      </c>
      <c r="C226" s="497"/>
      <c r="D226" s="289">
        <v>53</v>
      </c>
      <c r="E226" s="289">
        <v>0</v>
      </c>
      <c r="F226" s="74">
        <v>853</v>
      </c>
      <c r="G226" s="1" t="s">
        <v>86</v>
      </c>
      <c r="H226" s="1" t="s">
        <v>7</v>
      </c>
      <c r="I226" s="1" t="s">
        <v>344</v>
      </c>
      <c r="J226" s="1" t="s">
        <v>159</v>
      </c>
      <c r="K226" s="2">
        <f t="shared" si="117"/>
        <v>95400</v>
      </c>
      <c r="L226" s="2">
        <f t="shared" si="117"/>
        <v>95400</v>
      </c>
      <c r="M226" s="2"/>
      <c r="N226" s="2">
        <f t="shared" si="101"/>
        <v>95400</v>
      </c>
      <c r="O226" s="2">
        <f t="shared" si="117"/>
        <v>95400</v>
      </c>
      <c r="P226" s="17"/>
      <c r="Q226" s="2">
        <f t="shared" si="97"/>
        <v>95400</v>
      </c>
    </row>
    <row r="227" spans="1:17" x14ac:dyDescent="0.25">
      <c r="A227" s="492"/>
      <c r="B227" s="492" t="s">
        <v>160</v>
      </c>
      <c r="C227" s="492"/>
      <c r="D227" s="289">
        <v>53</v>
      </c>
      <c r="E227" s="289">
        <v>0</v>
      </c>
      <c r="F227" s="74">
        <v>853</v>
      </c>
      <c r="G227" s="1" t="s">
        <v>86</v>
      </c>
      <c r="H227" s="1" t="s">
        <v>7</v>
      </c>
      <c r="I227" s="1" t="s">
        <v>344</v>
      </c>
      <c r="J227" s="1" t="s">
        <v>161</v>
      </c>
      <c r="K227" s="2">
        <f>'6 Вед15'!J307</f>
        <v>95400</v>
      </c>
      <c r="L227" s="2">
        <v>95400</v>
      </c>
      <c r="M227" s="2"/>
      <c r="N227" s="2">
        <f t="shared" si="101"/>
        <v>95400</v>
      </c>
      <c r="O227" s="2">
        <v>95400</v>
      </c>
      <c r="P227" s="17"/>
      <c r="Q227" s="2">
        <f t="shared" si="97"/>
        <v>95400</v>
      </c>
    </row>
    <row r="228" spans="1:17" ht="15" customHeight="1" x14ac:dyDescent="0.25">
      <c r="A228" s="583" t="s">
        <v>169</v>
      </c>
      <c r="B228" s="583"/>
      <c r="C228" s="495"/>
      <c r="D228" s="289">
        <v>53</v>
      </c>
      <c r="E228" s="289">
        <v>0</v>
      </c>
      <c r="F228" s="74">
        <v>853</v>
      </c>
      <c r="G228" s="20" t="s">
        <v>167</v>
      </c>
      <c r="H228" s="20" t="s">
        <v>18</v>
      </c>
      <c r="I228" s="20" t="s">
        <v>365</v>
      </c>
      <c r="J228" s="22"/>
      <c r="K228" s="44">
        <f t="shared" ref="K228:O229" si="118">K229</f>
        <v>5882000</v>
      </c>
      <c r="L228" s="44">
        <f t="shared" si="118"/>
        <v>5882000</v>
      </c>
      <c r="M228" s="44"/>
      <c r="N228" s="2">
        <f t="shared" si="101"/>
        <v>5882000</v>
      </c>
      <c r="O228" s="44">
        <f t="shared" si="118"/>
        <v>5882000</v>
      </c>
      <c r="P228" s="17"/>
      <c r="Q228" s="2">
        <f t="shared" si="97"/>
        <v>5882000</v>
      </c>
    </row>
    <row r="229" spans="1:17" x14ac:dyDescent="0.25">
      <c r="A229" s="17"/>
      <c r="B229" s="497" t="s">
        <v>158</v>
      </c>
      <c r="C229" s="497"/>
      <c r="D229" s="289">
        <v>53</v>
      </c>
      <c r="E229" s="289">
        <v>0</v>
      </c>
      <c r="F229" s="74">
        <v>853</v>
      </c>
      <c r="G229" s="1" t="s">
        <v>167</v>
      </c>
      <c r="H229" s="1" t="s">
        <v>18</v>
      </c>
      <c r="I229" s="1" t="s">
        <v>365</v>
      </c>
      <c r="J229" s="1" t="s">
        <v>159</v>
      </c>
      <c r="K229" s="2">
        <f t="shared" si="118"/>
        <v>5882000</v>
      </c>
      <c r="L229" s="2">
        <f t="shared" si="118"/>
        <v>5882000</v>
      </c>
      <c r="M229" s="2"/>
      <c r="N229" s="2">
        <f t="shared" si="101"/>
        <v>5882000</v>
      </c>
      <c r="O229" s="2">
        <f t="shared" si="118"/>
        <v>5882000</v>
      </c>
      <c r="P229" s="17"/>
      <c r="Q229" s="2">
        <f t="shared" si="97"/>
        <v>5882000</v>
      </c>
    </row>
    <row r="230" spans="1:17" x14ac:dyDescent="0.25">
      <c r="A230" s="17"/>
      <c r="B230" s="492" t="s">
        <v>171</v>
      </c>
      <c r="C230" s="492"/>
      <c r="D230" s="289">
        <v>53</v>
      </c>
      <c r="E230" s="289">
        <v>0</v>
      </c>
      <c r="F230" s="74">
        <v>853</v>
      </c>
      <c r="G230" s="1" t="s">
        <v>167</v>
      </c>
      <c r="H230" s="1" t="s">
        <v>18</v>
      </c>
      <c r="I230" s="1" t="s">
        <v>365</v>
      </c>
      <c r="J230" s="1" t="s">
        <v>172</v>
      </c>
      <c r="K230" s="2">
        <f>'6 Вед15'!J314</f>
        <v>5882000</v>
      </c>
      <c r="L230" s="2">
        <v>5882000</v>
      </c>
      <c r="M230" s="2"/>
      <c r="N230" s="2">
        <f t="shared" si="101"/>
        <v>5882000</v>
      </c>
      <c r="O230" s="2">
        <v>5882000</v>
      </c>
      <c r="P230" s="17"/>
      <c r="Q230" s="2">
        <f t="shared" si="97"/>
        <v>5882000</v>
      </c>
    </row>
    <row r="231" spans="1:17" ht="15" customHeight="1" x14ac:dyDescent="0.25">
      <c r="A231" s="591" t="s">
        <v>174</v>
      </c>
      <c r="B231" s="591"/>
      <c r="C231" s="497"/>
      <c r="D231" s="289">
        <v>53</v>
      </c>
      <c r="E231" s="289">
        <v>0</v>
      </c>
      <c r="F231" s="74">
        <v>853</v>
      </c>
      <c r="G231" s="1" t="s">
        <v>167</v>
      </c>
      <c r="H231" s="1" t="s">
        <v>74</v>
      </c>
      <c r="I231" s="1" t="s">
        <v>366</v>
      </c>
      <c r="J231" s="1"/>
      <c r="K231" s="2">
        <f t="shared" ref="K231:Q232" si="119">K232</f>
        <v>8607000</v>
      </c>
      <c r="L231" s="2">
        <f t="shared" si="119"/>
        <v>12789000</v>
      </c>
      <c r="M231" s="2">
        <f t="shared" si="119"/>
        <v>-1278900</v>
      </c>
      <c r="N231" s="2">
        <f t="shared" si="119"/>
        <v>11510100</v>
      </c>
      <c r="O231" s="2">
        <f t="shared" si="119"/>
        <v>8839000</v>
      </c>
      <c r="P231" s="2">
        <f t="shared" si="119"/>
        <v>-883900</v>
      </c>
      <c r="Q231" s="2">
        <f t="shared" si="119"/>
        <v>7955100</v>
      </c>
    </row>
    <row r="232" spans="1:17" x14ac:dyDescent="0.25">
      <c r="A232" s="17"/>
      <c r="B232" s="497" t="s">
        <v>158</v>
      </c>
      <c r="C232" s="497"/>
      <c r="D232" s="289">
        <v>53</v>
      </c>
      <c r="E232" s="289">
        <v>0</v>
      </c>
      <c r="F232" s="74">
        <v>853</v>
      </c>
      <c r="G232" s="1" t="s">
        <v>167</v>
      </c>
      <c r="H232" s="1" t="s">
        <v>74</v>
      </c>
      <c r="I232" s="1" t="s">
        <v>366</v>
      </c>
      <c r="J232" s="1" t="s">
        <v>159</v>
      </c>
      <c r="K232" s="2">
        <f t="shared" si="119"/>
        <v>8607000</v>
      </c>
      <c r="L232" s="2">
        <f t="shared" si="119"/>
        <v>12789000</v>
      </c>
      <c r="M232" s="2">
        <f t="shared" si="119"/>
        <v>-1278900</v>
      </c>
      <c r="N232" s="2">
        <f t="shared" si="119"/>
        <v>11510100</v>
      </c>
      <c r="O232" s="2">
        <f t="shared" si="119"/>
        <v>8839000</v>
      </c>
      <c r="P232" s="2">
        <f t="shared" si="119"/>
        <v>-883900</v>
      </c>
      <c r="Q232" s="2">
        <f t="shared" si="119"/>
        <v>7955100</v>
      </c>
    </row>
    <row r="233" spans="1:17" x14ac:dyDescent="0.25">
      <c r="A233" s="17"/>
      <c r="B233" s="492" t="s">
        <v>171</v>
      </c>
      <c r="C233" s="492"/>
      <c r="D233" s="289">
        <v>53</v>
      </c>
      <c r="E233" s="289">
        <v>0</v>
      </c>
      <c r="F233" s="74">
        <v>853</v>
      </c>
      <c r="G233" s="1" t="s">
        <v>167</v>
      </c>
      <c r="H233" s="1" t="s">
        <v>74</v>
      </c>
      <c r="I233" s="1" t="s">
        <v>366</v>
      </c>
      <c r="J233" s="1" t="s">
        <v>172</v>
      </c>
      <c r="K233" s="2">
        <f>'6 Вед15'!J320</f>
        <v>8607000</v>
      </c>
      <c r="L233" s="2">
        <v>12789000</v>
      </c>
      <c r="M233" s="2">
        <v>-1278900</v>
      </c>
      <c r="N233" s="2">
        <f t="shared" si="101"/>
        <v>11510100</v>
      </c>
      <c r="O233" s="2">
        <v>8839000</v>
      </c>
      <c r="P233" s="448">
        <v>-883900</v>
      </c>
      <c r="Q233" s="2">
        <f t="shared" si="97"/>
        <v>7955100</v>
      </c>
    </row>
    <row r="234" spans="1:17" s="26" customFormat="1" ht="48.75" customHeight="1" x14ac:dyDescent="0.25">
      <c r="A234" s="583" t="s">
        <v>658</v>
      </c>
      <c r="B234" s="583"/>
      <c r="C234" s="497"/>
      <c r="D234" s="289">
        <v>53</v>
      </c>
      <c r="E234" s="289">
        <v>0</v>
      </c>
      <c r="F234" s="74">
        <v>853</v>
      </c>
      <c r="G234" s="289" t="s">
        <v>74</v>
      </c>
      <c r="H234" s="289" t="s">
        <v>4</v>
      </c>
      <c r="I234" s="289">
        <v>5118</v>
      </c>
      <c r="J234" s="497" t="s">
        <v>164</v>
      </c>
      <c r="K234" s="44">
        <f t="shared" ref="K234:O235" si="120">K235</f>
        <v>800617</v>
      </c>
      <c r="L234" s="44">
        <f t="shared" si="120"/>
        <v>810399</v>
      </c>
      <c r="M234" s="44"/>
      <c r="N234" s="2">
        <f t="shared" si="101"/>
        <v>810399</v>
      </c>
      <c r="O234" s="44">
        <f t="shared" si="120"/>
        <v>774567</v>
      </c>
      <c r="P234" s="508"/>
      <c r="Q234" s="2">
        <f t="shared" si="97"/>
        <v>774567</v>
      </c>
    </row>
    <row r="235" spans="1:17" s="26" customFormat="1" x14ac:dyDescent="0.25">
      <c r="A235" s="497"/>
      <c r="B235" s="492" t="s">
        <v>158</v>
      </c>
      <c r="C235" s="497"/>
      <c r="D235" s="289">
        <v>53</v>
      </c>
      <c r="E235" s="289">
        <v>0</v>
      </c>
      <c r="F235" s="74">
        <v>853</v>
      </c>
      <c r="G235" s="289" t="s">
        <v>74</v>
      </c>
      <c r="H235" s="289" t="s">
        <v>4</v>
      </c>
      <c r="I235" s="289">
        <v>5118</v>
      </c>
      <c r="J235" s="289" t="s">
        <v>159</v>
      </c>
      <c r="K235" s="44">
        <f t="shared" si="120"/>
        <v>800617</v>
      </c>
      <c r="L235" s="44">
        <f t="shared" si="120"/>
        <v>810399</v>
      </c>
      <c r="M235" s="44"/>
      <c r="N235" s="2">
        <f t="shared" si="101"/>
        <v>810399</v>
      </c>
      <c r="O235" s="44">
        <f t="shared" si="120"/>
        <v>774567</v>
      </c>
      <c r="P235" s="508"/>
      <c r="Q235" s="2">
        <f t="shared" si="97"/>
        <v>774567</v>
      </c>
    </row>
    <row r="236" spans="1:17" s="26" customFormat="1" x14ac:dyDescent="0.25">
      <c r="A236" s="497"/>
      <c r="B236" s="492" t="s">
        <v>160</v>
      </c>
      <c r="C236" s="497"/>
      <c r="D236" s="289">
        <v>53</v>
      </c>
      <c r="E236" s="289">
        <v>0</v>
      </c>
      <c r="F236" s="74">
        <v>853</v>
      </c>
      <c r="G236" s="289" t="s">
        <v>74</v>
      </c>
      <c r="H236" s="289" t="s">
        <v>4</v>
      </c>
      <c r="I236" s="289">
        <v>5118</v>
      </c>
      <c r="J236" s="289" t="s">
        <v>161</v>
      </c>
      <c r="K236" s="44">
        <f>'6 Вед15'!J284</f>
        <v>800617</v>
      </c>
      <c r="L236" s="44">
        <v>810399</v>
      </c>
      <c r="M236" s="44"/>
      <c r="N236" s="2">
        <f t="shared" si="101"/>
        <v>810399</v>
      </c>
      <c r="O236" s="44">
        <v>774567</v>
      </c>
      <c r="P236" s="508"/>
      <c r="Q236" s="2">
        <f t="shared" si="97"/>
        <v>774567</v>
      </c>
    </row>
    <row r="237" spans="1:17" ht="13.5" customHeight="1" x14ac:dyDescent="0.25">
      <c r="A237" s="593" t="s">
        <v>368</v>
      </c>
      <c r="B237" s="593"/>
      <c r="C237" s="492"/>
      <c r="D237" s="499">
        <v>70</v>
      </c>
      <c r="E237" s="289"/>
      <c r="F237" s="74"/>
      <c r="G237" s="1"/>
      <c r="H237" s="1"/>
      <c r="I237" s="1"/>
      <c r="J237" s="1"/>
      <c r="K237" s="9">
        <f>K238+K242+K246+K257</f>
        <v>2123620</v>
      </c>
      <c r="L237" s="9">
        <f t="shared" ref="L237:O237" si="121">L238+L242+L246+L257</f>
        <v>5764462</v>
      </c>
      <c r="M237" s="9"/>
      <c r="N237" s="2">
        <f t="shared" si="101"/>
        <v>5764462</v>
      </c>
      <c r="O237" s="9">
        <f t="shared" si="121"/>
        <v>9420267</v>
      </c>
      <c r="P237" s="448"/>
      <c r="Q237" s="2">
        <f t="shared" si="97"/>
        <v>9420267</v>
      </c>
    </row>
    <row r="238" spans="1:17" ht="13.5" customHeight="1" x14ac:dyDescent="0.25">
      <c r="A238" s="584" t="s">
        <v>16</v>
      </c>
      <c r="B238" s="584"/>
      <c r="C238" s="492"/>
      <c r="D238" s="18">
        <v>70</v>
      </c>
      <c r="E238" s="18">
        <v>0</v>
      </c>
      <c r="F238" s="99">
        <v>851</v>
      </c>
      <c r="G238" s="12"/>
      <c r="H238" s="12"/>
      <c r="I238" s="12"/>
      <c r="J238" s="12"/>
      <c r="K238" s="14">
        <f>K239</f>
        <v>200000</v>
      </c>
      <c r="L238" s="14">
        <f t="shared" ref="L238:O238" si="122">L239</f>
        <v>200000</v>
      </c>
      <c r="M238" s="14"/>
      <c r="N238" s="2">
        <f t="shared" si="101"/>
        <v>200000</v>
      </c>
      <c r="O238" s="14">
        <f t="shared" si="122"/>
        <v>200000</v>
      </c>
      <c r="P238" s="448"/>
      <c r="Q238" s="2">
        <f t="shared" si="97"/>
        <v>200000</v>
      </c>
    </row>
    <row r="239" spans="1:17" x14ac:dyDescent="0.25">
      <c r="A239" s="583" t="s">
        <v>41</v>
      </c>
      <c r="B239" s="583"/>
      <c r="C239" s="492"/>
      <c r="D239" s="289">
        <v>70</v>
      </c>
      <c r="E239" s="289">
        <v>0</v>
      </c>
      <c r="F239" s="289">
        <v>851</v>
      </c>
      <c r="G239" s="1" t="s">
        <v>18</v>
      </c>
      <c r="H239" s="1" t="s">
        <v>39</v>
      </c>
      <c r="I239" s="1" t="s">
        <v>369</v>
      </c>
      <c r="J239" s="1"/>
      <c r="K239" s="2">
        <f t="shared" ref="K239:O240" si="123">K240</f>
        <v>200000</v>
      </c>
      <c r="L239" s="2">
        <f t="shared" si="123"/>
        <v>200000</v>
      </c>
      <c r="M239" s="2"/>
      <c r="N239" s="2">
        <f t="shared" si="101"/>
        <v>200000</v>
      </c>
      <c r="O239" s="2">
        <f t="shared" si="123"/>
        <v>200000</v>
      </c>
      <c r="P239" s="448"/>
      <c r="Q239" s="2">
        <f t="shared" si="97"/>
        <v>200000</v>
      </c>
    </row>
    <row r="240" spans="1:17" x14ac:dyDescent="0.25">
      <c r="A240" s="17"/>
      <c r="B240" s="492" t="s">
        <v>32</v>
      </c>
      <c r="C240" s="492"/>
      <c r="D240" s="289">
        <v>70</v>
      </c>
      <c r="E240" s="289">
        <v>0</v>
      </c>
      <c r="F240" s="289">
        <v>851</v>
      </c>
      <c r="G240" s="1" t="s">
        <v>18</v>
      </c>
      <c r="H240" s="1" t="s">
        <v>39</v>
      </c>
      <c r="I240" s="1" t="s">
        <v>369</v>
      </c>
      <c r="J240" s="1" t="s">
        <v>33</v>
      </c>
      <c r="K240" s="2">
        <f t="shared" si="123"/>
        <v>200000</v>
      </c>
      <c r="L240" s="2">
        <f t="shared" si="123"/>
        <v>200000</v>
      </c>
      <c r="M240" s="2"/>
      <c r="N240" s="2">
        <f t="shared" si="101"/>
        <v>200000</v>
      </c>
      <c r="O240" s="2">
        <f t="shared" si="123"/>
        <v>200000</v>
      </c>
      <c r="P240" s="448"/>
      <c r="Q240" s="2">
        <f t="shared" si="97"/>
        <v>200000</v>
      </c>
    </row>
    <row r="241" spans="1:17" x14ac:dyDescent="0.25">
      <c r="A241" s="17"/>
      <c r="B241" s="497" t="s">
        <v>42</v>
      </c>
      <c r="C241" s="497"/>
      <c r="D241" s="289">
        <v>70</v>
      </c>
      <c r="E241" s="289">
        <v>0</v>
      </c>
      <c r="F241" s="289">
        <v>851</v>
      </c>
      <c r="G241" s="1" t="s">
        <v>18</v>
      </c>
      <c r="H241" s="1" t="s">
        <v>39</v>
      </c>
      <c r="I241" s="1" t="s">
        <v>369</v>
      </c>
      <c r="J241" s="1" t="s">
        <v>43</v>
      </c>
      <c r="K241" s="2">
        <f>'6 Вед15'!J33</f>
        <v>200000</v>
      </c>
      <c r="L241" s="2">
        <v>200000</v>
      </c>
      <c r="M241" s="2"/>
      <c r="N241" s="2">
        <f t="shared" si="101"/>
        <v>200000</v>
      </c>
      <c r="O241" s="2">
        <v>200000</v>
      </c>
      <c r="P241" s="448"/>
      <c r="Q241" s="2">
        <f t="shared" si="97"/>
        <v>200000</v>
      </c>
    </row>
    <row r="242" spans="1:17" ht="12" customHeight="1" x14ac:dyDescent="0.25">
      <c r="A242" s="589" t="s">
        <v>181</v>
      </c>
      <c r="B242" s="589"/>
      <c r="C242" s="497"/>
      <c r="D242" s="18">
        <v>70</v>
      </c>
      <c r="E242" s="18">
        <v>0</v>
      </c>
      <c r="F242" s="99">
        <v>853</v>
      </c>
      <c r="G242" s="18" t="s">
        <v>182</v>
      </c>
      <c r="H242" s="496" t="s">
        <v>164</v>
      </c>
      <c r="I242" s="1"/>
      <c r="J242" s="496" t="s">
        <v>164</v>
      </c>
      <c r="K242" s="14">
        <f t="shared" ref="K242:O244" si="124">K243</f>
        <v>0</v>
      </c>
      <c r="L242" s="14">
        <f t="shared" si="124"/>
        <v>3647342</v>
      </c>
      <c r="M242" s="14"/>
      <c r="N242" s="2">
        <f t="shared" si="101"/>
        <v>3647342</v>
      </c>
      <c r="O242" s="14">
        <f t="shared" si="124"/>
        <v>7303147</v>
      </c>
      <c r="P242" s="448"/>
      <c r="Q242" s="2">
        <f t="shared" si="97"/>
        <v>7303147</v>
      </c>
    </row>
    <row r="243" spans="1:17" x14ac:dyDescent="0.25">
      <c r="A243" s="589" t="s">
        <v>181</v>
      </c>
      <c r="B243" s="589"/>
      <c r="C243" s="497"/>
      <c r="D243" s="18">
        <v>70</v>
      </c>
      <c r="E243" s="18">
        <v>0</v>
      </c>
      <c r="F243" s="99">
        <v>853</v>
      </c>
      <c r="G243" s="18" t="s">
        <v>182</v>
      </c>
      <c r="H243" s="18" t="s">
        <v>182</v>
      </c>
      <c r="I243" s="1" t="s">
        <v>367</v>
      </c>
      <c r="J243" s="496" t="s">
        <v>164</v>
      </c>
      <c r="K243" s="14">
        <f t="shared" si="124"/>
        <v>0</v>
      </c>
      <c r="L243" s="14">
        <f t="shared" si="124"/>
        <v>3647342</v>
      </c>
      <c r="M243" s="14"/>
      <c r="N243" s="2">
        <f t="shared" si="101"/>
        <v>3647342</v>
      </c>
      <c r="O243" s="14">
        <f t="shared" si="124"/>
        <v>7303147</v>
      </c>
      <c r="P243" s="448"/>
      <c r="Q243" s="2">
        <f t="shared" si="97"/>
        <v>7303147</v>
      </c>
    </row>
    <row r="244" spans="1:17" x14ac:dyDescent="0.25">
      <c r="A244" s="17"/>
      <c r="B244" s="492" t="s">
        <v>181</v>
      </c>
      <c r="C244" s="497"/>
      <c r="D244" s="289">
        <v>70</v>
      </c>
      <c r="E244" s="289">
        <v>0</v>
      </c>
      <c r="F244" s="74">
        <v>853</v>
      </c>
      <c r="G244" s="289" t="s">
        <v>182</v>
      </c>
      <c r="H244" s="289" t="s">
        <v>182</v>
      </c>
      <c r="I244" s="1" t="s">
        <v>367</v>
      </c>
      <c r="J244" s="497" t="s">
        <v>164</v>
      </c>
      <c r="K244" s="2">
        <f t="shared" si="124"/>
        <v>0</v>
      </c>
      <c r="L244" s="2">
        <f t="shared" si="124"/>
        <v>3647342</v>
      </c>
      <c r="M244" s="2"/>
      <c r="N244" s="2">
        <f t="shared" si="101"/>
        <v>3647342</v>
      </c>
      <c r="O244" s="2">
        <f t="shared" si="124"/>
        <v>7303147</v>
      </c>
      <c r="P244" s="448"/>
      <c r="Q244" s="2">
        <f t="shared" ref="Q244:Q265" si="125">O244+P244</f>
        <v>7303147</v>
      </c>
    </row>
    <row r="245" spans="1:17" x14ac:dyDescent="0.25">
      <c r="A245" s="17"/>
      <c r="B245" s="492" t="s">
        <v>181</v>
      </c>
      <c r="C245" s="497"/>
      <c r="D245" s="289">
        <v>70</v>
      </c>
      <c r="E245" s="289">
        <v>0</v>
      </c>
      <c r="F245" s="74">
        <v>853</v>
      </c>
      <c r="G245" s="289" t="s">
        <v>182</v>
      </c>
      <c r="H245" s="289" t="s">
        <v>182</v>
      </c>
      <c r="I245" s="1" t="s">
        <v>367</v>
      </c>
      <c r="J245" s="289" t="s">
        <v>184</v>
      </c>
      <c r="K245" s="2">
        <f>'6 Вед15'!J328</f>
        <v>0</v>
      </c>
      <c r="L245" s="2">
        <v>3647342</v>
      </c>
      <c r="M245" s="2"/>
      <c r="N245" s="2">
        <f t="shared" si="101"/>
        <v>3647342</v>
      </c>
      <c r="O245" s="2">
        <v>7303147</v>
      </c>
      <c r="P245" s="448"/>
      <c r="Q245" s="2">
        <f t="shared" si="125"/>
        <v>7303147</v>
      </c>
    </row>
    <row r="246" spans="1:17" s="15" customFormat="1" ht="13.5" customHeight="1" x14ac:dyDescent="0.25">
      <c r="A246" s="584" t="s">
        <v>176</v>
      </c>
      <c r="B246" s="584"/>
      <c r="C246" s="99"/>
      <c r="D246" s="99">
        <v>70</v>
      </c>
      <c r="E246" s="99">
        <v>0</v>
      </c>
      <c r="F246" s="99">
        <v>854</v>
      </c>
      <c r="G246" s="99"/>
      <c r="H246" s="12"/>
      <c r="I246" s="12"/>
      <c r="J246" s="12"/>
      <c r="K246" s="14">
        <f>K247+K250</f>
        <v>1416920</v>
      </c>
      <c r="L246" s="14">
        <f t="shared" ref="L246:O246" si="126">L247+L250</f>
        <v>1416920</v>
      </c>
      <c r="M246" s="14"/>
      <c r="N246" s="2">
        <f t="shared" si="101"/>
        <v>1416920</v>
      </c>
      <c r="O246" s="14">
        <f t="shared" si="126"/>
        <v>1416920</v>
      </c>
      <c r="P246" s="505"/>
      <c r="Q246" s="2">
        <f t="shared" si="125"/>
        <v>1416920</v>
      </c>
    </row>
    <row r="247" spans="1:17" x14ac:dyDescent="0.25">
      <c r="A247" s="583" t="s">
        <v>582</v>
      </c>
      <c r="B247" s="583"/>
      <c r="C247" s="492"/>
      <c r="D247" s="289">
        <v>70</v>
      </c>
      <c r="E247" s="289">
        <v>0</v>
      </c>
      <c r="F247" s="289">
        <v>854</v>
      </c>
      <c r="G247" s="1" t="s">
        <v>23</v>
      </c>
      <c r="H247" s="1" t="s">
        <v>74</v>
      </c>
      <c r="I247" s="1" t="s">
        <v>584</v>
      </c>
      <c r="J247" s="1"/>
      <c r="K247" s="2">
        <f t="shared" ref="K247:O248" si="127">K248</f>
        <v>789500</v>
      </c>
      <c r="L247" s="2">
        <f t="shared" si="127"/>
        <v>789500</v>
      </c>
      <c r="M247" s="2"/>
      <c r="N247" s="2">
        <f t="shared" si="101"/>
        <v>789500</v>
      </c>
      <c r="O247" s="2">
        <f t="shared" si="127"/>
        <v>789500</v>
      </c>
      <c r="P247" s="448"/>
      <c r="Q247" s="2">
        <f t="shared" si="125"/>
        <v>789500</v>
      </c>
    </row>
    <row r="248" spans="1:17" ht="36" customHeight="1" x14ac:dyDescent="0.25">
      <c r="A248" s="492"/>
      <c r="B248" s="497" t="s">
        <v>22</v>
      </c>
      <c r="C248" s="492"/>
      <c r="D248" s="289">
        <v>70</v>
      </c>
      <c r="E248" s="289">
        <v>0</v>
      </c>
      <c r="F248" s="289">
        <v>854</v>
      </c>
      <c r="G248" s="1" t="s">
        <v>18</v>
      </c>
      <c r="H248" s="1" t="s">
        <v>74</v>
      </c>
      <c r="I248" s="1" t="s">
        <v>584</v>
      </c>
      <c r="J248" s="1" t="s">
        <v>24</v>
      </c>
      <c r="K248" s="2">
        <f t="shared" si="127"/>
        <v>789500</v>
      </c>
      <c r="L248" s="2">
        <f t="shared" si="127"/>
        <v>789500</v>
      </c>
      <c r="M248" s="2"/>
      <c r="N248" s="2">
        <f t="shared" si="101"/>
        <v>789500</v>
      </c>
      <c r="O248" s="2">
        <f t="shared" si="127"/>
        <v>789500</v>
      </c>
      <c r="P248" s="448"/>
      <c r="Q248" s="2">
        <f t="shared" si="125"/>
        <v>789500</v>
      </c>
    </row>
    <row r="249" spans="1:17" ht="15" customHeight="1" x14ac:dyDescent="0.25">
      <c r="A249" s="492"/>
      <c r="B249" s="497" t="s">
        <v>25</v>
      </c>
      <c r="C249" s="492"/>
      <c r="D249" s="289">
        <v>70</v>
      </c>
      <c r="E249" s="289">
        <v>0</v>
      </c>
      <c r="F249" s="289">
        <v>854</v>
      </c>
      <c r="G249" s="1" t="s">
        <v>18</v>
      </c>
      <c r="H249" s="1" t="s">
        <v>74</v>
      </c>
      <c r="I249" s="1" t="s">
        <v>584</v>
      </c>
      <c r="J249" s="1" t="s">
        <v>26</v>
      </c>
      <c r="K249" s="2">
        <f>'6 Вед15'!J334</f>
        <v>789500</v>
      </c>
      <c r="L249" s="2">
        <v>789500</v>
      </c>
      <c r="M249" s="2"/>
      <c r="N249" s="2">
        <f t="shared" ref="N249:N265" si="128">L249+M249</f>
        <v>789500</v>
      </c>
      <c r="O249" s="2">
        <v>789500</v>
      </c>
      <c r="P249" s="448"/>
      <c r="Q249" s="2">
        <f t="shared" si="125"/>
        <v>789500</v>
      </c>
    </row>
    <row r="250" spans="1:17" ht="27" customHeight="1" x14ac:dyDescent="0.25">
      <c r="A250" s="583" t="s">
        <v>27</v>
      </c>
      <c r="B250" s="583"/>
      <c r="C250" s="289"/>
      <c r="D250" s="289">
        <v>70</v>
      </c>
      <c r="E250" s="289">
        <v>0</v>
      </c>
      <c r="F250" s="289">
        <v>854</v>
      </c>
      <c r="G250" s="1" t="s">
        <v>23</v>
      </c>
      <c r="H250" s="1" t="s">
        <v>4</v>
      </c>
      <c r="I250" s="1" t="s">
        <v>562</v>
      </c>
      <c r="J250" s="1"/>
      <c r="K250" s="2">
        <f t="shared" ref="K250:O250" si="129">K251+K253+K255</f>
        <v>627420</v>
      </c>
      <c r="L250" s="2">
        <f t="shared" si="129"/>
        <v>627420</v>
      </c>
      <c r="M250" s="2"/>
      <c r="N250" s="2">
        <f t="shared" si="128"/>
        <v>627420</v>
      </c>
      <c r="O250" s="2">
        <f t="shared" si="129"/>
        <v>627420</v>
      </c>
      <c r="P250" s="448"/>
      <c r="Q250" s="2">
        <f t="shared" si="125"/>
        <v>627420</v>
      </c>
    </row>
    <row r="251" spans="1:17" ht="36.75" customHeight="1" x14ac:dyDescent="0.25">
      <c r="A251" s="17"/>
      <c r="B251" s="497" t="s">
        <v>22</v>
      </c>
      <c r="C251" s="289"/>
      <c r="D251" s="289">
        <v>70</v>
      </c>
      <c r="E251" s="289">
        <v>0</v>
      </c>
      <c r="F251" s="289">
        <v>854</v>
      </c>
      <c r="G251" s="1" t="s">
        <v>18</v>
      </c>
      <c r="H251" s="1" t="s">
        <v>4</v>
      </c>
      <c r="I251" s="1" t="s">
        <v>562</v>
      </c>
      <c r="J251" s="1" t="s">
        <v>24</v>
      </c>
      <c r="K251" s="2">
        <f t="shared" ref="K251:O251" si="130">K252</f>
        <v>418200</v>
      </c>
      <c r="L251" s="2">
        <f t="shared" si="130"/>
        <v>418200</v>
      </c>
      <c r="M251" s="2"/>
      <c r="N251" s="2">
        <f t="shared" si="128"/>
        <v>418200</v>
      </c>
      <c r="O251" s="2">
        <f t="shared" si="130"/>
        <v>418200</v>
      </c>
      <c r="P251" s="448"/>
      <c r="Q251" s="2">
        <f t="shared" si="125"/>
        <v>418200</v>
      </c>
    </row>
    <row r="252" spans="1:17" ht="13.5" customHeight="1" x14ac:dyDescent="0.25">
      <c r="A252" s="17"/>
      <c r="B252" s="497" t="s">
        <v>25</v>
      </c>
      <c r="C252" s="289"/>
      <c r="D252" s="289">
        <v>70</v>
      </c>
      <c r="E252" s="289">
        <v>0</v>
      </c>
      <c r="F252" s="289">
        <v>854</v>
      </c>
      <c r="G252" s="1" t="s">
        <v>18</v>
      </c>
      <c r="H252" s="1" t="s">
        <v>4</v>
      </c>
      <c r="I252" s="1" t="s">
        <v>562</v>
      </c>
      <c r="J252" s="1" t="s">
        <v>26</v>
      </c>
      <c r="K252" s="2">
        <f>'6 Вед15'!J338</f>
        <v>418200</v>
      </c>
      <c r="L252" s="2">
        <v>418200</v>
      </c>
      <c r="M252" s="2"/>
      <c r="N252" s="2">
        <f t="shared" si="128"/>
        <v>418200</v>
      </c>
      <c r="O252" s="2">
        <v>418200</v>
      </c>
      <c r="P252" s="448"/>
      <c r="Q252" s="2">
        <f t="shared" si="125"/>
        <v>418200</v>
      </c>
    </row>
    <row r="253" spans="1:17" ht="13.5" customHeight="1" x14ac:dyDescent="0.25">
      <c r="A253" s="17"/>
      <c r="B253" s="492" t="s">
        <v>28</v>
      </c>
      <c r="C253" s="289"/>
      <c r="D253" s="289">
        <v>70</v>
      </c>
      <c r="E253" s="289">
        <v>0</v>
      </c>
      <c r="F253" s="289">
        <v>854</v>
      </c>
      <c r="G253" s="1" t="s">
        <v>18</v>
      </c>
      <c r="H253" s="1" t="s">
        <v>4</v>
      </c>
      <c r="I253" s="1" t="s">
        <v>562</v>
      </c>
      <c r="J253" s="1" t="s">
        <v>29</v>
      </c>
      <c r="K253" s="2">
        <f>'6 Вед15'!J339</f>
        <v>208700</v>
      </c>
      <c r="L253" s="2">
        <f>L254</f>
        <v>208700</v>
      </c>
      <c r="M253" s="2"/>
      <c r="N253" s="2">
        <f t="shared" si="128"/>
        <v>208700</v>
      </c>
      <c r="O253" s="2">
        <f>'6 Вед15'!L339</f>
        <v>208700</v>
      </c>
      <c r="P253" s="448"/>
      <c r="Q253" s="2">
        <f t="shared" si="125"/>
        <v>208700</v>
      </c>
    </row>
    <row r="254" spans="1:17" ht="25.5" customHeight="1" x14ac:dyDescent="0.25">
      <c r="A254" s="17"/>
      <c r="B254" s="492" t="s">
        <v>30</v>
      </c>
      <c r="C254" s="289"/>
      <c r="D254" s="289">
        <v>70</v>
      </c>
      <c r="E254" s="289">
        <v>0</v>
      </c>
      <c r="F254" s="289">
        <v>854</v>
      </c>
      <c r="G254" s="1" t="s">
        <v>18</v>
      </c>
      <c r="H254" s="1" t="s">
        <v>4</v>
      </c>
      <c r="I254" s="1" t="s">
        <v>562</v>
      </c>
      <c r="J254" s="1" t="s">
        <v>31</v>
      </c>
      <c r="K254" s="2">
        <f>'6 Вед15'!J340</f>
        <v>208700</v>
      </c>
      <c r="L254" s="2">
        <v>208700</v>
      </c>
      <c r="M254" s="2"/>
      <c r="N254" s="2">
        <f t="shared" si="128"/>
        <v>208700</v>
      </c>
      <c r="O254" s="2">
        <v>208700</v>
      </c>
      <c r="P254" s="448"/>
      <c r="Q254" s="2">
        <f t="shared" si="125"/>
        <v>208700</v>
      </c>
    </row>
    <row r="255" spans="1:17" ht="13.5" customHeight="1" x14ac:dyDescent="0.25">
      <c r="A255" s="17"/>
      <c r="B255" s="492" t="s">
        <v>32</v>
      </c>
      <c r="C255" s="289"/>
      <c r="D255" s="289">
        <v>70</v>
      </c>
      <c r="E255" s="289">
        <v>0</v>
      </c>
      <c r="F255" s="289">
        <v>854</v>
      </c>
      <c r="G255" s="1" t="s">
        <v>18</v>
      </c>
      <c r="H255" s="1" t="s">
        <v>4</v>
      </c>
      <c r="I255" s="1" t="s">
        <v>562</v>
      </c>
      <c r="J255" s="1" t="s">
        <v>33</v>
      </c>
      <c r="K255" s="2">
        <f>'6 Вед15'!J341</f>
        <v>520</v>
      </c>
      <c r="L255" s="2">
        <f>L256</f>
        <v>520</v>
      </c>
      <c r="M255" s="2"/>
      <c r="N255" s="2">
        <f t="shared" si="128"/>
        <v>520</v>
      </c>
      <c r="O255" s="2">
        <f>'6 Вед15'!L341</f>
        <v>520</v>
      </c>
      <c r="P255" s="448"/>
      <c r="Q255" s="2">
        <f t="shared" si="125"/>
        <v>520</v>
      </c>
    </row>
    <row r="256" spans="1:17" x14ac:dyDescent="0.25">
      <c r="A256" s="17"/>
      <c r="B256" s="497" t="s">
        <v>596</v>
      </c>
      <c r="C256" s="492"/>
      <c r="D256" s="289">
        <v>70</v>
      </c>
      <c r="E256" s="289">
        <v>0</v>
      </c>
      <c r="F256" s="289">
        <v>854</v>
      </c>
      <c r="G256" s="1" t="s">
        <v>18</v>
      </c>
      <c r="H256" s="1" t="s">
        <v>4</v>
      </c>
      <c r="I256" s="1" t="s">
        <v>562</v>
      </c>
      <c r="J256" s="1" t="s">
        <v>36</v>
      </c>
      <c r="K256" s="2">
        <f>'6 Вед15'!J342</f>
        <v>520</v>
      </c>
      <c r="L256" s="2">
        <v>520</v>
      </c>
      <c r="M256" s="2"/>
      <c r="N256" s="2">
        <f t="shared" si="128"/>
        <v>520</v>
      </c>
      <c r="O256" s="2">
        <v>520</v>
      </c>
      <c r="P256" s="448"/>
      <c r="Q256" s="2">
        <f t="shared" si="125"/>
        <v>520</v>
      </c>
    </row>
    <row r="257" spans="1:17" x14ac:dyDescent="0.25">
      <c r="A257" s="584" t="s">
        <v>747</v>
      </c>
      <c r="B257" s="584"/>
      <c r="C257" s="492"/>
      <c r="D257" s="18">
        <v>70</v>
      </c>
      <c r="E257" s="18">
        <v>0</v>
      </c>
      <c r="F257" s="18">
        <v>857</v>
      </c>
      <c r="G257" s="12"/>
      <c r="H257" s="12"/>
      <c r="I257" s="12"/>
      <c r="J257" s="12"/>
      <c r="K257" s="14">
        <f>K258+K263</f>
        <v>506700</v>
      </c>
      <c r="L257" s="14">
        <f t="shared" ref="L257:O257" si="131">L258+L263</f>
        <v>500200</v>
      </c>
      <c r="M257" s="14"/>
      <c r="N257" s="2">
        <f t="shared" si="128"/>
        <v>500200</v>
      </c>
      <c r="O257" s="14">
        <f t="shared" si="131"/>
        <v>500200</v>
      </c>
      <c r="P257" s="448"/>
      <c r="Q257" s="2">
        <f t="shared" si="125"/>
        <v>500200</v>
      </c>
    </row>
    <row r="258" spans="1:17" ht="14.25" customHeight="1" x14ac:dyDescent="0.25">
      <c r="A258" s="583" t="s">
        <v>178</v>
      </c>
      <c r="B258" s="583"/>
      <c r="C258" s="492"/>
      <c r="D258" s="289">
        <v>70</v>
      </c>
      <c r="E258" s="289">
        <v>0</v>
      </c>
      <c r="F258" s="289">
        <v>857</v>
      </c>
      <c r="G258" s="1" t="s">
        <v>18</v>
      </c>
      <c r="H258" s="1" t="s">
        <v>1</v>
      </c>
      <c r="I258" s="1" t="s">
        <v>370</v>
      </c>
      <c r="J258" s="1"/>
      <c r="K258" s="2">
        <f>K259+K261</f>
        <v>488700</v>
      </c>
      <c r="L258" s="2">
        <f t="shared" ref="L258:O258" si="132">L259+L261</f>
        <v>500200</v>
      </c>
      <c r="M258" s="2"/>
      <c r="N258" s="2">
        <f t="shared" si="128"/>
        <v>500200</v>
      </c>
      <c r="O258" s="2">
        <f t="shared" si="132"/>
        <v>500200</v>
      </c>
      <c r="P258" s="448"/>
      <c r="Q258" s="2">
        <f t="shared" si="125"/>
        <v>500200</v>
      </c>
    </row>
    <row r="259" spans="1:17" ht="39.75" customHeight="1" x14ac:dyDescent="0.25">
      <c r="A259" s="492"/>
      <c r="B259" s="497" t="s">
        <v>22</v>
      </c>
      <c r="C259" s="492"/>
      <c r="D259" s="289">
        <v>70</v>
      </c>
      <c r="E259" s="289">
        <v>0</v>
      </c>
      <c r="F259" s="289">
        <v>857</v>
      </c>
      <c r="G259" s="1" t="s">
        <v>23</v>
      </c>
      <c r="H259" s="1" t="s">
        <v>1</v>
      </c>
      <c r="I259" s="1" t="s">
        <v>370</v>
      </c>
      <c r="J259" s="1" t="s">
        <v>24</v>
      </c>
      <c r="K259" s="2">
        <f t="shared" ref="K259:O259" si="133">K260</f>
        <v>459000</v>
      </c>
      <c r="L259" s="2">
        <f t="shared" si="133"/>
        <v>472000</v>
      </c>
      <c r="M259" s="2"/>
      <c r="N259" s="2">
        <f t="shared" si="128"/>
        <v>472000</v>
      </c>
      <c r="O259" s="2">
        <f t="shared" si="133"/>
        <v>472000</v>
      </c>
      <c r="P259" s="448"/>
      <c r="Q259" s="2">
        <f t="shared" si="125"/>
        <v>472000</v>
      </c>
    </row>
    <row r="260" spans="1:17" ht="15" customHeight="1" x14ac:dyDescent="0.25">
      <c r="A260" s="17"/>
      <c r="B260" s="497" t="s">
        <v>25</v>
      </c>
      <c r="C260" s="497"/>
      <c r="D260" s="289">
        <v>70</v>
      </c>
      <c r="E260" s="289">
        <v>0</v>
      </c>
      <c r="F260" s="289">
        <v>857</v>
      </c>
      <c r="G260" s="1" t="s">
        <v>18</v>
      </c>
      <c r="H260" s="1" t="s">
        <v>1</v>
      </c>
      <c r="I260" s="1" t="s">
        <v>370</v>
      </c>
      <c r="J260" s="1" t="s">
        <v>26</v>
      </c>
      <c r="K260" s="2">
        <f>'6 Вед15'!J348</f>
        <v>459000</v>
      </c>
      <c r="L260" s="2">
        <v>472000</v>
      </c>
      <c r="M260" s="2"/>
      <c r="N260" s="2">
        <f t="shared" si="128"/>
        <v>472000</v>
      </c>
      <c r="O260" s="2">
        <v>472000</v>
      </c>
      <c r="P260" s="448"/>
      <c r="Q260" s="2">
        <f t="shared" si="125"/>
        <v>472000</v>
      </c>
    </row>
    <row r="261" spans="1:17" ht="13.5" customHeight="1" x14ac:dyDescent="0.25">
      <c r="A261" s="17"/>
      <c r="B261" s="492" t="s">
        <v>28</v>
      </c>
      <c r="C261" s="289"/>
      <c r="D261" s="289">
        <v>70</v>
      </c>
      <c r="E261" s="289">
        <v>0</v>
      </c>
      <c r="F261" s="289">
        <v>857</v>
      </c>
      <c r="G261" s="1" t="s">
        <v>18</v>
      </c>
      <c r="H261" s="1" t="s">
        <v>4</v>
      </c>
      <c r="I261" s="1" t="s">
        <v>370</v>
      </c>
      <c r="J261" s="1" t="s">
        <v>29</v>
      </c>
      <c r="K261" s="2">
        <f>K262</f>
        <v>29700</v>
      </c>
      <c r="L261" s="2">
        <f t="shared" ref="L261:O261" si="134">L262</f>
        <v>28200</v>
      </c>
      <c r="M261" s="2"/>
      <c r="N261" s="2">
        <f t="shared" si="128"/>
        <v>28200</v>
      </c>
      <c r="O261" s="2">
        <f t="shared" si="134"/>
        <v>28200</v>
      </c>
      <c r="P261" s="448"/>
      <c r="Q261" s="2">
        <f t="shared" si="125"/>
        <v>28200</v>
      </c>
    </row>
    <row r="262" spans="1:17" ht="25.5" customHeight="1" x14ac:dyDescent="0.25">
      <c r="A262" s="17"/>
      <c r="B262" s="492" t="s">
        <v>30</v>
      </c>
      <c r="C262" s="289"/>
      <c r="D262" s="289">
        <v>70</v>
      </c>
      <c r="E262" s="289">
        <v>0</v>
      </c>
      <c r="F262" s="289">
        <v>857</v>
      </c>
      <c r="G262" s="1" t="s">
        <v>18</v>
      </c>
      <c r="H262" s="1" t="s">
        <v>4</v>
      </c>
      <c r="I262" s="1" t="s">
        <v>370</v>
      </c>
      <c r="J262" s="1" t="s">
        <v>31</v>
      </c>
      <c r="K262" s="2">
        <f>'6 Вед15'!J350</f>
        <v>29700</v>
      </c>
      <c r="L262" s="2">
        <v>28200</v>
      </c>
      <c r="M262" s="2"/>
      <c r="N262" s="2">
        <f t="shared" si="128"/>
        <v>28200</v>
      </c>
      <c r="O262" s="2">
        <v>28200</v>
      </c>
      <c r="P262" s="448"/>
      <c r="Q262" s="2">
        <f t="shared" si="125"/>
        <v>28200</v>
      </c>
    </row>
    <row r="263" spans="1:17" ht="26.25" hidden="1" customHeight="1" x14ac:dyDescent="0.25">
      <c r="A263" s="583" t="s">
        <v>373</v>
      </c>
      <c r="B263" s="583"/>
      <c r="C263" s="492"/>
      <c r="D263" s="289">
        <v>70</v>
      </c>
      <c r="E263" s="289">
        <v>0</v>
      </c>
      <c r="F263" s="289">
        <v>857</v>
      </c>
      <c r="G263" s="1" t="s">
        <v>23</v>
      </c>
      <c r="H263" s="1" t="s">
        <v>1</v>
      </c>
      <c r="I263" s="1" t="s">
        <v>621</v>
      </c>
      <c r="J263" s="2"/>
      <c r="K263" s="2">
        <f t="shared" ref="K263:O264" si="135">K264</f>
        <v>18000</v>
      </c>
      <c r="L263" s="2">
        <f t="shared" si="135"/>
        <v>0</v>
      </c>
      <c r="M263" s="2"/>
      <c r="N263" s="2">
        <f t="shared" si="128"/>
        <v>0</v>
      </c>
      <c r="O263" s="2">
        <f t="shared" si="135"/>
        <v>0</v>
      </c>
      <c r="P263" s="448"/>
      <c r="Q263" s="2">
        <f t="shared" si="125"/>
        <v>0</v>
      </c>
    </row>
    <row r="264" spans="1:17" ht="14.25" hidden="1" customHeight="1" x14ac:dyDescent="0.25">
      <c r="A264" s="17"/>
      <c r="B264" s="492" t="s">
        <v>28</v>
      </c>
      <c r="C264" s="497"/>
      <c r="D264" s="289">
        <v>70</v>
      </c>
      <c r="E264" s="289">
        <v>0</v>
      </c>
      <c r="F264" s="289">
        <v>857</v>
      </c>
      <c r="G264" s="1" t="s">
        <v>18</v>
      </c>
      <c r="H264" s="1" t="s">
        <v>1</v>
      </c>
      <c r="I264" s="1" t="s">
        <v>621</v>
      </c>
      <c r="J264" s="1" t="s">
        <v>29</v>
      </c>
      <c r="K264" s="2">
        <f t="shared" si="135"/>
        <v>18000</v>
      </c>
      <c r="L264" s="2">
        <f t="shared" si="135"/>
        <v>0</v>
      </c>
      <c r="M264" s="2"/>
      <c r="N264" s="2">
        <f t="shared" si="128"/>
        <v>0</v>
      </c>
      <c r="O264" s="2">
        <f t="shared" si="135"/>
        <v>0</v>
      </c>
      <c r="P264" s="448"/>
      <c r="Q264" s="2">
        <f t="shared" si="125"/>
        <v>0</v>
      </c>
    </row>
    <row r="265" spans="1:17" ht="24" hidden="1" x14ac:dyDescent="0.25">
      <c r="A265" s="17"/>
      <c r="B265" s="492" t="s">
        <v>30</v>
      </c>
      <c r="C265" s="492"/>
      <c r="D265" s="289">
        <v>70</v>
      </c>
      <c r="E265" s="289">
        <v>0</v>
      </c>
      <c r="F265" s="289">
        <v>857</v>
      </c>
      <c r="G265" s="1" t="s">
        <v>18</v>
      </c>
      <c r="H265" s="1" t="s">
        <v>1</v>
      </c>
      <c r="I265" s="1" t="s">
        <v>621</v>
      </c>
      <c r="J265" s="1" t="s">
        <v>31</v>
      </c>
      <c r="K265" s="2">
        <f>'6 Вед15'!J353</f>
        <v>18000</v>
      </c>
      <c r="L265" s="2">
        <f>'6 Вед15'!K353</f>
        <v>0</v>
      </c>
      <c r="M265" s="2"/>
      <c r="N265" s="2">
        <f t="shared" si="128"/>
        <v>0</v>
      </c>
      <c r="O265" s="2"/>
      <c r="P265" s="448"/>
      <c r="Q265" s="2">
        <f t="shared" si="125"/>
        <v>0</v>
      </c>
    </row>
    <row r="266" spans="1:17" s="15" customFormat="1" ht="16.5" customHeight="1" x14ac:dyDescent="0.25">
      <c r="A266" s="500"/>
      <c r="B266" s="496" t="s">
        <v>180</v>
      </c>
      <c r="C266" s="496"/>
      <c r="D266" s="18"/>
      <c r="E266" s="18"/>
      <c r="F266" s="18"/>
      <c r="G266" s="12"/>
      <c r="H266" s="12"/>
      <c r="I266" s="12"/>
      <c r="J266" s="12"/>
      <c r="K266" s="14">
        <f>K8+K146+K212+K237</f>
        <v>234246433</v>
      </c>
      <c r="L266" s="14">
        <f>L8+L146+L212+L237</f>
        <v>230823280</v>
      </c>
      <c r="M266" s="14">
        <f t="shared" ref="M266:Q266" si="136">M8+M146+M212+M237</f>
        <v>-5599900</v>
      </c>
      <c r="N266" s="14">
        <f t="shared" si="136"/>
        <v>225223380</v>
      </c>
      <c r="O266" s="14">
        <f t="shared" si="136"/>
        <v>229348073</v>
      </c>
      <c r="P266" s="14">
        <f t="shared" si="136"/>
        <v>-5153400</v>
      </c>
      <c r="Q266" s="14">
        <f t="shared" si="136"/>
        <v>224194673</v>
      </c>
    </row>
    <row r="267" spans="1:17" x14ac:dyDescent="0.25">
      <c r="G267" s="6"/>
      <c r="H267" s="6"/>
      <c r="K267" s="10"/>
    </row>
    <row r="268" spans="1:17" x14ac:dyDescent="0.25">
      <c r="G268" s="6"/>
      <c r="H268" s="6"/>
      <c r="K268" s="10">
        <f>'6 Вед15'!J354</f>
        <v>234246433</v>
      </c>
      <c r="L268" s="10">
        <f>'6 Вед15'!K354</f>
        <v>8505006</v>
      </c>
      <c r="M268" s="10"/>
      <c r="N268" s="10"/>
      <c r="O268" s="10">
        <f>'6 Вед15'!L354</f>
        <v>242751439</v>
      </c>
    </row>
    <row r="269" spans="1:17" x14ac:dyDescent="0.25">
      <c r="G269" s="6"/>
      <c r="H269" s="6"/>
      <c r="K269" s="10">
        <f t="shared" ref="K269:O269" si="137">K266-K268</f>
        <v>0</v>
      </c>
      <c r="L269" s="10">
        <f t="shared" si="137"/>
        <v>222318274</v>
      </c>
      <c r="M269" s="10"/>
      <c r="N269" s="10"/>
      <c r="O269" s="10">
        <f t="shared" si="137"/>
        <v>-13403366</v>
      </c>
    </row>
    <row r="270" spans="1:17" x14ac:dyDescent="0.25">
      <c r="F270" s="86"/>
      <c r="G270" s="87"/>
      <c r="H270" s="87"/>
      <c r="I270" s="86"/>
      <c r="J270" s="87"/>
      <c r="K270" s="10"/>
    </row>
    <row r="271" spans="1:17" x14ac:dyDescent="0.25">
      <c r="F271" s="6"/>
    </row>
    <row r="272" spans="1:17" x14ac:dyDescent="0.25">
      <c r="F272" s="6"/>
    </row>
    <row r="273" spans="6:9" x14ac:dyDescent="0.25">
      <c r="F273" s="6"/>
    </row>
    <row r="274" spans="6:9" x14ac:dyDescent="0.25">
      <c r="F274" s="6"/>
    </row>
    <row r="275" spans="6:9" x14ac:dyDescent="0.25">
      <c r="F275" s="6"/>
      <c r="G275" s="6"/>
      <c r="H275" s="6"/>
      <c r="I275" s="6"/>
    </row>
    <row r="276" spans="6:9" x14ac:dyDescent="0.25">
      <c r="F276" s="6"/>
    </row>
    <row r="277" spans="6:9" x14ac:dyDescent="0.25">
      <c r="F277" s="6"/>
    </row>
    <row r="278" spans="6:9" x14ac:dyDescent="0.25">
      <c r="F278" s="6"/>
    </row>
    <row r="279" spans="6:9" x14ac:dyDescent="0.25">
      <c r="F279" s="6"/>
    </row>
    <row r="280" spans="6:9" x14ac:dyDescent="0.25">
      <c r="F280" s="6"/>
    </row>
    <row r="281" spans="6:9" x14ac:dyDescent="0.25">
      <c r="F281" s="6"/>
    </row>
    <row r="282" spans="6:9" x14ac:dyDescent="0.25">
      <c r="F282" s="6"/>
    </row>
    <row r="284" spans="6:9" x14ac:dyDescent="0.25">
      <c r="F284" s="6"/>
    </row>
    <row r="285" spans="6:9" x14ac:dyDescent="0.25">
      <c r="F285" s="6"/>
    </row>
    <row r="286" spans="6:9" x14ac:dyDescent="0.25">
      <c r="F286" s="6"/>
    </row>
    <row r="287" spans="6:9" x14ac:dyDescent="0.25">
      <c r="F287" s="6"/>
      <c r="G287" s="6"/>
      <c r="H287" s="6"/>
      <c r="I287" s="6"/>
    </row>
    <row r="288" spans="6:9" x14ac:dyDescent="0.25">
      <c r="F288" s="6"/>
      <c r="G288" s="6"/>
      <c r="H288" s="6"/>
      <c r="I288" s="6"/>
    </row>
    <row r="289" spans="6:15" x14ac:dyDescent="0.25">
      <c r="F289" s="6"/>
      <c r="G289" s="6"/>
      <c r="H289" s="6"/>
      <c r="I289" s="6"/>
    </row>
    <row r="290" spans="6:15" x14ac:dyDescent="0.25">
      <c r="F290" s="6"/>
      <c r="G290" s="6"/>
      <c r="H290" s="6"/>
      <c r="I290" s="6"/>
    </row>
    <row r="291" spans="6:15" x14ac:dyDescent="0.25">
      <c r="F291" s="6"/>
      <c r="G291" s="6"/>
      <c r="H291" s="6"/>
      <c r="I291" s="6"/>
    </row>
    <row r="297" spans="6:15" x14ac:dyDescent="0.25">
      <c r="F297" s="6"/>
      <c r="L297" s="10">
        <f>'6 Вед15'!K354</f>
        <v>8505006</v>
      </c>
      <c r="M297" s="10"/>
      <c r="N297" s="10"/>
      <c r="O297" s="10">
        <f>'6 Вед15'!L354</f>
        <v>242751439</v>
      </c>
    </row>
    <row r="298" spans="6:15" x14ac:dyDescent="0.25">
      <c r="L298" s="10">
        <f t="shared" ref="L298:O298" si="138">L266-L297</f>
        <v>222318274</v>
      </c>
      <c r="M298" s="10"/>
      <c r="N298" s="10"/>
      <c r="O298" s="10">
        <f t="shared" si="138"/>
        <v>-13403366</v>
      </c>
    </row>
    <row r="299" spans="6:15" x14ac:dyDescent="0.25">
      <c r="F299" s="6"/>
      <c r="L299" s="10">
        <f>Функц.!K317</f>
        <v>8505006</v>
      </c>
      <c r="M299" s="10"/>
      <c r="N299" s="10"/>
      <c r="O299" s="10">
        <f>Функц.!L317</f>
        <v>242751439</v>
      </c>
    </row>
    <row r="300" spans="6:15" x14ac:dyDescent="0.25">
      <c r="F300" s="6"/>
      <c r="L300" s="10">
        <f t="shared" ref="L300:O300" si="139">L266-L299</f>
        <v>222318274</v>
      </c>
      <c r="M300" s="10"/>
      <c r="N300" s="10"/>
      <c r="O300" s="10">
        <f t="shared" si="139"/>
        <v>-13403366</v>
      </c>
    </row>
    <row r="301" spans="6:15" x14ac:dyDescent="0.25">
      <c r="F301" s="6"/>
      <c r="L301" s="10">
        <f>' Дох.15'!F119</f>
        <v>4802500</v>
      </c>
      <c r="M301" s="10"/>
      <c r="N301" s="10"/>
      <c r="O301" s="10">
        <f>' Дох.15'!G119</f>
        <v>239048933</v>
      </c>
    </row>
    <row r="302" spans="6:15" x14ac:dyDescent="0.25">
      <c r="F302" s="6"/>
      <c r="G302" s="6"/>
      <c r="H302" s="6"/>
      <c r="I302" s="6"/>
      <c r="L302" s="10">
        <f t="shared" ref="L302:O302" si="140">L266-L301</f>
        <v>226020780</v>
      </c>
      <c r="M302" s="10"/>
      <c r="N302" s="10"/>
      <c r="O302" s="10">
        <f t="shared" si="140"/>
        <v>-9700860</v>
      </c>
    </row>
    <row r="303" spans="6:15" x14ac:dyDescent="0.25">
      <c r="F303" s="6"/>
      <c r="G303" s="6"/>
      <c r="H303" s="6"/>
      <c r="I303" s="6"/>
      <c r="L303" s="10">
        <f>'12 Ист.15'!H15</f>
        <v>7983206</v>
      </c>
      <c r="M303" s="10"/>
      <c r="N303" s="10"/>
      <c r="O303" s="10">
        <f>'12 Ист.15'!I15</f>
        <v>0</v>
      </c>
    </row>
    <row r="304" spans="6:15" x14ac:dyDescent="0.25">
      <c r="F304" s="6"/>
      <c r="G304" s="6"/>
      <c r="H304" s="6"/>
      <c r="I304" s="6"/>
      <c r="L304" s="10">
        <f t="shared" ref="L304:O304" si="141">L266-L301-L303</f>
        <v>218037574</v>
      </c>
      <c r="M304" s="10"/>
      <c r="N304" s="10"/>
      <c r="O304" s="10">
        <f t="shared" si="141"/>
        <v>-9700860</v>
      </c>
    </row>
    <row r="305" spans="6:9" hidden="1" x14ac:dyDescent="0.25">
      <c r="F305" s="6"/>
      <c r="G305" s="6"/>
      <c r="H305" s="6"/>
      <c r="I305" s="6"/>
    </row>
    <row r="306" spans="6:9" x14ac:dyDescent="0.25">
      <c r="F306" s="6"/>
      <c r="G306" s="6"/>
      <c r="H306" s="6"/>
      <c r="I306" s="6"/>
    </row>
  </sheetData>
  <mergeCells count="94">
    <mergeCell ref="A5:Q5"/>
    <mergeCell ref="E1:L1"/>
    <mergeCell ref="E2:Q2"/>
    <mergeCell ref="A257:B257"/>
    <mergeCell ref="A258:B258"/>
    <mergeCell ref="A8:B8"/>
    <mergeCell ref="A243:B243"/>
    <mergeCell ref="A138:B138"/>
    <mergeCell ref="A154:B154"/>
    <mergeCell ref="A169:B169"/>
    <mergeCell ref="A180:B180"/>
    <mergeCell ref="A188:B188"/>
    <mergeCell ref="A191:B191"/>
    <mergeCell ref="A200:B200"/>
    <mergeCell ref="A203:B203"/>
    <mergeCell ref="A206:B206"/>
    <mergeCell ref="A263:B263"/>
    <mergeCell ref="A214:B214"/>
    <mergeCell ref="A38:B38"/>
    <mergeCell ref="A41:B41"/>
    <mergeCell ref="A174:B174"/>
    <mergeCell ref="A92:B92"/>
    <mergeCell ref="A133:B133"/>
    <mergeCell ref="A136:B136"/>
    <mergeCell ref="A49:B49"/>
    <mergeCell ref="A54:B54"/>
    <mergeCell ref="A79:B79"/>
    <mergeCell ref="A82:B82"/>
    <mergeCell ref="A246:B246"/>
    <mergeCell ref="A160:B160"/>
    <mergeCell ref="A225:B225"/>
    <mergeCell ref="A228:B228"/>
    <mergeCell ref="A242:B242"/>
    <mergeCell ref="A213:B213"/>
    <mergeCell ref="A143:B143"/>
    <mergeCell ref="G6:H6"/>
    <mergeCell ref="A95:B95"/>
    <mergeCell ref="A65:B65"/>
    <mergeCell ref="A185:B185"/>
    <mergeCell ref="A125:B125"/>
    <mergeCell ref="A98:B98"/>
    <mergeCell ref="A112:B112"/>
    <mergeCell ref="A115:B115"/>
    <mergeCell ref="A124:B124"/>
    <mergeCell ref="A101:B101"/>
    <mergeCell ref="A7:B7"/>
    <mergeCell ref="A10:B10"/>
    <mergeCell ref="A25:B25"/>
    <mergeCell ref="E4:Q4"/>
    <mergeCell ref="A250:B250"/>
    <mergeCell ref="A222:B222"/>
    <mergeCell ref="A234:B234"/>
    <mergeCell ref="A237:B237"/>
    <mergeCell ref="A238:B238"/>
    <mergeCell ref="A239:B239"/>
    <mergeCell ref="A231:B231"/>
    <mergeCell ref="A22:B22"/>
    <mergeCell ref="A30:B30"/>
    <mergeCell ref="A35:B35"/>
    <mergeCell ref="A157:B157"/>
    <mergeCell ref="A247:B247"/>
    <mergeCell ref="A177:B177"/>
    <mergeCell ref="A209:B209"/>
    <mergeCell ref="A212:B212"/>
    <mergeCell ref="A44:B44"/>
    <mergeCell ref="A57:B57"/>
    <mergeCell ref="A60:B60"/>
    <mergeCell ref="A68:B68"/>
    <mergeCell ref="A9:B9"/>
    <mergeCell ref="A13:B13"/>
    <mergeCell ref="A147:B147"/>
    <mergeCell ref="A148:B148"/>
    <mergeCell ref="A151:B151"/>
    <mergeCell ref="A123:B123"/>
    <mergeCell ref="A73:B73"/>
    <mergeCell ref="A76:B76"/>
    <mergeCell ref="A84:B84"/>
    <mergeCell ref="A87:B87"/>
    <mergeCell ref="E3:O3"/>
    <mergeCell ref="A137:B137"/>
    <mergeCell ref="A141:B141"/>
    <mergeCell ref="A142:B142"/>
    <mergeCell ref="A146:B146"/>
    <mergeCell ref="A110:B110"/>
    <mergeCell ref="A111:B111"/>
    <mergeCell ref="A128:B128"/>
    <mergeCell ref="A83:B83"/>
    <mergeCell ref="A88:B88"/>
    <mergeCell ref="A89:B89"/>
    <mergeCell ref="A104:B104"/>
    <mergeCell ref="A107:B107"/>
    <mergeCell ref="A116:B116"/>
    <mergeCell ref="A117:B117"/>
    <mergeCell ref="A120:B120"/>
  </mergeCells>
  <pageMargins left="0.11811023622047245" right="0.11811023622047245" top="0.55118110236220474" bottom="0.15748031496062992" header="0.31496062992125984" footer="0.31496062992125984"/>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C15" sqref="C15"/>
    </sheetView>
  </sheetViews>
  <sheetFormatPr defaultRowHeight="12.75" x14ac:dyDescent="0.2"/>
  <cols>
    <col min="1" max="1" width="4.140625" style="54" customWidth="1"/>
    <col min="2" max="2" width="59.5703125" style="54" customWidth="1"/>
    <col min="3" max="3" width="33.28515625" style="54" customWidth="1"/>
    <col min="4" max="4" width="13.85546875" style="54" customWidth="1"/>
    <col min="5" max="251" width="9.140625" style="54"/>
    <col min="252" max="252" width="4.140625" style="54" customWidth="1"/>
    <col min="253" max="253" width="58.85546875" style="54" customWidth="1"/>
    <col min="254" max="254" width="32.85546875" style="54" customWidth="1"/>
    <col min="255" max="507" width="9.140625" style="54"/>
    <col min="508" max="508" width="4.140625" style="54" customWidth="1"/>
    <col min="509" max="509" width="58.85546875" style="54" customWidth="1"/>
    <col min="510" max="510" width="32.85546875" style="54" customWidth="1"/>
    <col min="511" max="763" width="9.140625" style="54"/>
    <col min="764" max="764" width="4.140625" style="54" customWidth="1"/>
    <col min="765" max="765" width="58.85546875" style="54" customWidth="1"/>
    <col min="766" max="766" width="32.85546875" style="54" customWidth="1"/>
    <col min="767" max="1019" width="9.140625" style="54"/>
    <col min="1020" max="1020" width="4.140625" style="54" customWidth="1"/>
    <col min="1021" max="1021" width="58.85546875" style="54" customWidth="1"/>
    <col min="1022" max="1022" width="32.85546875" style="54" customWidth="1"/>
    <col min="1023" max="1275" width="9.140625" style="54"/>
    <col min="1276" max="1276" width="4.140625" style="54" customWidth="1"/>
    <col min="1277" max="1277" width="58.85546875" style="54" customWidth="1"/>
    <col min="1278" max="1278" width="32.85546875" style="54" customWidth="1"/>
    <col min="1279" max="1531" width="9.140625" style="54"/>
    <col min="1532" max="1532" width="4.140625" style="54" customWidth="1"/>
    <col min="1533" max="1533" width="58.85546875" style="54" customWidth="1"/>
    <col min="1534" max="1534" width="32.85546875" style="54" customWidth="1"/>
    <col min="1535" max="1787" width="9.140625" style="54"/>
    <col min="1788" max="1788" width="4.140625" style="54" customWidth="1"/>
    <col min="1789" max="1789" width="58.85546875" style="54" customWidth="1"/>
    <col min="1790" max="1790" width="32.85546875" style="54" customWidth="1"/>
    <col min="1791" max="2043" width="9.140625" style="54"/>
    <col min="2044" max="2044" width="4.140625" style="54" customWidth="1"/>
    <col min="2045" max="2045" width="58.85546875" style="54" customWidth="1"/>
    <col min="2046" max="2046" width="32.85546875" style="54" customWidth="1"/>
    <col min="2047" max="2299" width="9.140625" style="54"/>
    <col min="2300" max="2300" width="4.140625" style="54" customWidth="1"/>
    <col min="2301" max="2301" width="58.85546875" style="54" customWidth="1"/>
    <col min="2302" max="2302" width="32.85546875" style="54" customWidth="1"/>
    <col min="2303" max="2555" width="9.140625" style="54"/>
    <col min="2556" max="2556" width="4.140625" style="54" customWidth="1"/>
    <col min="2557" max="2557" width="58.85546875" style="54" customWidth="1"/>
    <col min="2558" max="2558" width="32.85546875" style="54" customWidth="1"/>
    <col min="2559" max="2811" width="9.140625" style="54"/>
    <col min="2812" max="2812" width="4.140625" style="54" customWidth="1"/>
    <col min="2813" max="2813" width="58.85546875" style="54" customWidth="1"/>
    <col min="2814" max="2814" width="32.85546875" style="54" customWidth="1"/>
    <col min="2815" max="3067" width="9.140625" style="54"/>
    <col min="3068" max="3068" width="4.140625" style="54" customWidth="1"/>
    <col min="3069" max="3069" width="58.85546875" style="54" customWidth="1"/>
    <col min="3070" max="3070" width="32.85546875" style="54" customWidth="1"/>
    <col min="3071" max="3323" width="9.140625" style="54"/>
    <col min="3324" max="3324" width="4.140625" style="54" customWidth="1"/>
    <col min="3325" max="3325" width="58.85546875" style="54" customWidth="1"/>
    <col min="3326" max="3326" width="32.85546875" style="54" customWidth="1"/>
    <col min="3327" max="3579" width="9.140625" style="54"/>
    <col min="3580" max="3580" width="4.140625" style="54" customWidth="1"/>
    <col min="3581" max="3581" width="58.85546875" style="54" customWidth="1"/>
    <col min="3582" max="3582" width="32.85546875" style="54" customWidth="1"/>
    <col min="3583" max="3835" width="9.140625" style="54"/>
    <col min="3836" max="3836" width="4.140625" style="54" customWidth="1"/>
    <col min="3837" max="3837" width="58.85546875" style="54" customWidth="1"/>
    <col min="3838" max="3838" width="32.85546875" style="54" customWidth="1"/>
    <col min="3839" max="4091" width="9.140625" style="54"/>
    <col min="4092" max="4092" width="4.140625" style="54" customWidth="1"/>
    <col min="4093" max="4093" width="58.85546875" style="54" customWidth="1"/>
    <col min="4094" max="4094" width="32.85546875" style="54" customWidth="1"/>
    <col min="4095" max="4347" width="9.140625" style="54"/>
    <col min="4348" max="4348" width="4.140625" style="54" customWidth="1"/>
    <col min="4349" max="4349" width="58.85546875" style="54" customWidth="1"/>
    <col min="4350" max="4350" width="32.85546875" style="54" customWidth="1"/>
    <col min="4351" max="4603" width="9.140625" style="54"/>
    <col min="4604" max="4604" width="4.140625" style="54" customWidth="1"/>
    <col min="4605" max="4605" width="58.85546875" style="54" customWidth="1"/>
    <col min="4606" max="4606" width="32.85546875" style="54" customWidth="1"/>
    <col min="4607" max="4859" width="9.140625" style="54"/>
    <col min="4860" max="4860" width="4.140625" style="54" customWidth="1"/>
    <col min="4861" max="4861" width="58.85546875" style="54" customWidth="1"/>
    <col min="4862" max="4862" width="32.85546875" style="54" customWidth="1"/>
    <col min="4863" max="5115" width="9.140625" style="54"/>
    <col min="5116" max="5116" width="4.140625" style="54" customWidth="1"/>
    <col min="5117" max="5117" width="58.85546875" style="54" customWidth="1"/>
    <col min="5118" max="5118" width="32.85546875" style="54" customWidth="1"/>
    <col min="5119" max="5371" width="9.140625" style="54"/>
    <col min="5372" max="5372" width="4.140625" style="54" customWidth="1"/>
    <col min="5373" max="5373" width="58.85546875" style="54" customWidth="1"/>
    <col min="5374" max="5374" width="32.85546875" style="54" customWidth="1"/>
    <col min="5375" max="5627" width="9.140625" style="54"/>
    <col min="5628" max="5628" width="4.140625" style="54" customWidth="1"/>
    <col min="5629" max="5629" width="58.85546875" style="54" customWidth="1"/>
    <col min="5630" max="5630" width="32.85546875" style="54" customWidth="1"/>
    <col min="5631" max="5883" width="9.140625" style="54"/>
    <col min="5884" max="5884" width="4.140625" style="54" customWidth="1"/>
    <col min="5885" max="5885" width="58.85546875" style="54" customWidth="1"/>
    <col min="5886" max="5886" width="32.85546875" style="54" customWidth="1"/>
    <col min="5887" max="6139" width="9.140625" style="54"/>
    <col min="6140" max="6140" width="4.140625" style="54" customWidth="1"/>
    <col min="6141" max="6141" width="58.85546875" style="54" customWidth="1"/>
    <col min="6142" max="6142" width="32.85546875" style="54" customWidth="1"/>
    <col min="6143" max="6395" width="9.140625" style="54"/>
    <col min="6396" max="6396" width="4.140625" style="54" customWidth="1"/>
    <col min="6397" max="6397" width="58.85546875" style="54" customWidth="1"/>
    <col min="6398" max="6398" width="32.85546875" style="54" customWidth="1"/>
    <col min="6399" max="6651" width="9.140625" style="54"/>
    <col min="6652" max="6652" width="4.140625" style="54" customWidth="1"/>
    <col min="6653" max="6653" width="58.85546875" style="54" customWidth="1"/>
    <col min="6654" max="6654" width="32.85546875" style="54" customWidth="1"/>
    <col min="6655" max="6907" width="9.140625" style="54"/>
    <col min="6908" max="6908" width="4.140625" style="54" customWidth="1"/>
    <col min="6909" max="6909" width="58.85546875" style="54" customWidth="1"/>
    <col min="6910" max="6910" width="32.85546875" style="54" customWidth="1"/>
    <col min="6911" max="7163" width="9.140625" style="54"/>
    <col min="7164" max="7164" width="4.140625" style="54" customWidth="1"/>
    <col min="7165" max="7165" width="58.85546875" style="54" customWidth="1"/>
    <col min="7166" max="7166" width="32.85546875" style="54" customWidth="1"/>
    <col min="7167" max="7419" width="9.140625" style="54"/>
    <col min="7420" max="7420" width="4.140625" style="54" customWidth="1"/>
    <col min="7421" max="7421" width="58.85546875" style="54" customWidth="1"/>
    <col min="7422" max="7422" width="32.85546875" style="54" customWidth="1"/>
    <col min="7423" max="7675" width="9.140625" style="54"/>
    <col min="7676" max="7676" width="4.140625" style="54" customWidth="1"/>
    <col min="7677" max="7677" width="58.85546875" style="54" customWidth="1"/>
    <col min="7678" max="7678" width="32.85546875" style="54" customWidth="1"/>
    <col min="7679" max="7931" width="9.140625" style="54"/>
    <col min="7932" max="7932" width="4.140625" style="54" customWidth="1"/>
    <col min="7933" max="7933" width="58.85546875" style="54" customWidth="1"/>
    <col min="7934" max="7934" width="32.85546875" style="54" customWidth="1"/>
    <col min="7935" max="8187" width="9.140625" style="54"/>
    <col min="8188" max="8188" width="4.140625" style="54" customWidth="1"/>
    <col min="8189" max="8189" width="58.85546875" style="54" customWidth="1"/>
    <col min="8190" max="8190" width="32.85546875" style="54" customWidth="1"/>
    <col min="8191" max="8443" width="9.140625" style="54"/>
    <col min="8444" max="8444" width="4.140625" style="54" customWidth="1"/>
    <col min="8445" max="8445" width="58.85546875" style="54" customWidth="1"/>
    <col min="8446" max="8446" width="32.85546875" style="54" customWidth="1"/>
    <col min="8447" max="8699" width="9.140625" style="54"/>
    <col min="8700" max="8700" width="4.140625" style="54" customWidth="1"/>
    <col min="8701" max="8701" width="58.85546875" style="54" customWidth="1"/>
    <col min="8702" max="8702" width="32.85546875" style="54" customWidth="1"/>
    <col min="8703" max="8955" width="9.140625" style="54"/>
    <col min="8956" max="8956" width="4.140625" style="54" customWidth="1"/>
    <col min="8957" max="8957" width="58.85546875" style="54" customWidth="1"/>
    <col min="8958" max="8958" width="32.85546875" style="54" customWidth="1"/>
    <col min="8959" max="9211" width="9.140625" style="54"/>
    <col min="9212" max="9212" width="4.140625" style="54" customWidth="1"/>
    <col min="9213" max="9213" width="58.85546875" style="54" customWidth="1"/>
    <col min="9214" max="9214" width="32.85546875" style="54" customWidth="1"/>
    <col min="9215" max="9467" width="9.140625" style="54"/>
    <col min="9468" max="9468" width="4.140625" style="54" customWidth="1"/>
    <col min="9469" max="9469" width="58.85546875" style="54" customWidth="1"/>
    <col min="9470" max="9470" width="32.85546875" style="54" customWidth="1"/>
    <col min="9471" max="9723" width="9.140625" style="54"/>
    <col min="9724" max="9724" width="4.140625" style="54" customWidth="1"/>
    <col min="9725" max="9725" width="58.85546875" style="54" customWidth="1"/>
    <col min="9726" max="9726" width="32.85546875" style="54" customWidth="1"/>
    <col min="9727" max="9979" width="9.140625" style="54"/>
    <col min="9980" max="9980" width="4.140625" style="54" customWidth="1"/>
    <col min="9981" max="9981" width="58.85546875" style="54" customWidth="1"/>
    <col min="9982" max="9982" width="32.85546875" style="54" customWidth="1"/>
    <col min="9983" max="10235" width="9.140625" style="54"/>
    <col min="10236" max="10236" width="4.140625" style="54" customWidth="1"/>
    <col min="10237" max="10237" width="58.85546875" style="54" customWidth="1"/>
    <col min="10238" max="10238" width="32.85546875" style="54" customWidth="1"/>
    <col min="10239" max="10491" width="9.140625" style="54"/>
    <col min="10492" max="10492" width="4.140625" style="54" customWidth="1"/>
    <col min="10493" max="10493" width="58.85546875" style="54" customWidth="1"/>
    <col min="10494" max="10494" width="32.85546875" style="54" customWidth="1"/>
    <col min="10495" max="10747" width="9.140625" style="54"/>
    <col min="10748" max="10748" width="4.140625" style="54" customWidth="1"/>
    <col min="10749" max="10749" width="58.85546875" style="54" customWidth="1"/>
    <col min="10750" max="10750" width="32.85546875" style="54" customWidth="1"/>
    <col min="10751" max="11003" width="9.140625" style="54"/>
    <col min="11004" max="11004" width="4.140625" style="54" customWidth="1"/>
    <col min="11005" max="11005" width="58.85546875" style="54" customWidth="1"/>
    <col min="11006" max="11006" width="32.85546875" style="54" customWidth="1"/>
    <col min="11007" max="11259" width="9.140625" style="54"/>
    <col min="11260" max="11260" width="4.140625" style="54" customWidth="1"/>
    <col min="11261" max="11261" width="58.85546875" style="54" customWidth="1"/>
    <col min="11262" max="11262" width="32.85546875" style="54" customWidth="1"/>
    <col min="11263" max="11515" width="9.140625" style="54"/>
    <col min="11516" max="11516" width="4.140625" style="54" customWidth="1"/>
    <col min="11517" max="11517" width="58.85546875" style="54" customWidth="1"/>
    <col min="11518" max="11518" width="32.85546875" style="54" customWidth="1"/>
    <col min="11519" max="11771" width="9.140625" style="54"/>
    <col min="11772" max="11772" width="4.140625" style="54" customWidth="1"/>
    <col min="11773" max="11773" width="58.85546875" style="54" customWidth="1"/>
    <col min="11774" max="11774" width="32.85546875" style="54" customWidth="1"/>
    <col min="11775" max="12027" width="9.140625" style="54"/>
    <col min="12028" max="12028" width="4.140625" style="54" customWidth="1"/>
    <col min="12029" max="12029" width="58.85546875" style="54" customWidth="1"/>
    <col min="12030" max="12030" width="32.85546875" style="54" customWidth="1"/>
    <col min="12031" max="12283" width="9.140625" style="54"/>
    <col min="12284" max="12284" width="4.140625" style="54" customWidth="1"/>
    <col min="12285" max="12285" width="58.85546875" style="54" customWidth="1"/>
    <col min="12286" max="12286" width="32.85546875" style="54" customWidth="1"/>
    <col min="12287" max="12539" width="9.140625" style="54"/>
    <col min="12540" max="12540" width="4.140625" style="54" customWidth="1"/>
    <col min="12541" max="12541" width="58.85546875" style="54" customWidth="1"/>
    <col min="12542" max="12542" width="32.85546875" style="54" customWidth="1"/>
    <col min="12543" max="12795" width="9.140625" style="54"/>
    <col min="12796" max="12796" width="4.140625" style="54" customWidth="1"/>
    <col min="12797" max="12797" width="58.85546875" style="54" customWidth="1"/>
    <col min="12798" max="12798" width="32.85546875" style="54" customWidth="1"/>
    <col min="12799" max="13051" width="9.140625" style="54"/>
    <col min="13052" max="13052" width="4.140625" style="54" customWidth="1"/>
    <col min="13053" max="13053" width="58.85546875" style="54" customWidth="1"/>
    <col min="13054" max="13054" width="32.85546875" style="54" customWidth="1"/>
    <col min="13055" max="13307" width="9.140625" style="54"/>
    <col min="13308" max="13308" width="4.140625" style="54" customWidth="1"/>
    <col min="13309" max="13309" width="58.85546875" style="54" customWidth="1"/>
    <col min="13310" max="13310" width="32.85546875" style="54" customWidth="1"/>
    <col min="13311" max="13563" width="9.140625" style="54"/>
    <col min="13564" max="13564" width="4.140625" style="54" customWidth="1"/>
    <col min="13565" max="13565" width="58.85546875" style="54" customWidth="1"/>
    <col min="13566" max="13566" width="32.85546875" style="54" customWidth="1"/>
    <col min="13567" max="13819" width="9.140625" style="54"/>
    <col min="13820" max="13820" width="4.140625" style="54" customWidth="1"/>
    <col min="13821" max="13821" width="58.85546875" style="54" customWidth="1"/>
    <col min="13822" max="13822" width="32.85546875" style="54" customWidth="1"/>
    <col min="13823" max="14075" width="9.140625" style="54"/>
    <col min="14076" max="14076" width="4.140625" style="54" customWidth="1"/>
    <col min="14077" max="14077" width="58.85546875" style="54" customWidth="1"/>
    <col min="14078" max="14078" width="32.85546875" style="54" customWidth="1"/>
    <col min="14079" max="14331" width="9.140625" style="54"/>
    <col min="14332" max="14332" width="4.140625" style="54" customWidth="1"/>
    <col min="14333" max="14333" width="58.85546875" style="54" customWidth="1"/>
    <col min="14334" max="14334" width="32.85546875" style="54" customWidth="1"/>
    <col min="14335" max="14587" width="9.140625" style="54"/>
    <col min="14588" max="14588" width="4.140625" style="54" customWidth="1"/>
    <col min="14589" max="14589" width="58.85546875" style="54" customWidth="1"/>
    <col min="14590" max="14590" width="32.85546875" style="54" customWidth="1"/>
    <col min="14591" max="14843" width="9.140625" style="54"/>
    <col min="14844" max="14844" width="4.140625" style="54" customWidth="1"/>
    <col min="14845" max="14845" width="58.85546875" style="54" customWidth="1"/>
    <col min="14846" max="14846" width="32.85546875" style="54" customWidth="1"/>
    <col min="14847" max="15099" width="9.140625" style="54"/>
    <col min="15100" max="15100" width="4.140625" style="54" customWidth="1"/>
    <col min="15101" max="15101" width="58.85546875" style="54" customWidth="1"/>
    <col min="15102" max="15102" width="32.85546875" style="54" customWidth="1"/>
    <col min="15103" max="15355" width="9.140625" style="54"/>
    <col min="15356" max="15356" width="4.140625" style="54" customWidth="1"/>
    <col min="15357" max="15357" width="58.85546875" style="54" customWidth="1"/>
    <col min="15358" max="15358" width="32.85546875" style="54" customWidth="1"/>
    <col min="15359" max="15611" width="9.140625" style="54"/>
    <col min="15612" max="15612" width="4.140625" style="54" customWidth="1"/>
    <col min="15613" max="15613" width="58.85546875" style="54" customWidth="1"/>
    <col min="15614" max="15614" width="32.85546875" style="54" customWidth="1"/>
    <col min="15615" max="15867" width="9.140625" style="54"/>
    <col min="15868" max="15868" width="4.140625" style="54" customWidth="1"/>
    <col min="15869" max="15869" width="58.85546875" style="54" customWidth="1"/>
    <col min="15870" max="15870" width="32.85546875" style="54" customWidth="1"/>
    <col min="15871" max="16123" width="9.140625" style="54"/>
    <col min="16124" max="16124" width="4.140625" style="54" customWidth="1"/>
    <col min="16125" max="16125" width="58.85546875" style="54" customWidth="1"/>
    <col min="16126" max="16126" width="32.85546875" style="54" customWidth="1"/>
    <col min="16127" max="16384" width="9.140625" style="54"/>
  </cols>
  <sheetData>
    <row r="1" spans="1:3" x14ac:dyDescent="0.2">
      <c r="A1" s="51"/>
      <c r="B1" s="52"/>
      <c r="C1" s="53" t="s">
        <v>718</v>
      </c>
    </row>
    <row r="2" spans="1:3" ht="66" customHeight="1" x14ac:dyDescent="0.2">
      <c r="A2" s="51"/>
      <c r="B2" s="52"/>
      <c r="C2" s="225" t="s">
        <v>593</v>
      </c>
    </row>
    <row r="3" spans="1:3" x14ac:dyDescent="0.2">
      <c r="A3" s="51"/>
      <c r="B3" s="52"/>
      <c r="C3" s="55" t="s">
        <v>185</v>
      </c>
    </row>
    <row r="4" spans="1:3" s="71" customFormat="1" ht="81.75" customHeight="1" x14ac:dyDescent="0.25">
      <c r="A4" s="69"/>
      <c r="B4" s="606" t="s">
        <v>600</v>
      </c>
      <c r="C4" s="606"/>
    </row>
    <row r="5" spans="1:3" ht="15" x14ac:dyDescent="0.2">
      <c r="A5" s="51"/>
      <c r="B5" s="57"/>
      <c r="C5" s="57"/>
    </row>
    <row r="6" spans="1:3" s="60" customFormat="1" ht="30.75" customHeight="1" x14ac:dyDescent="0.25">
      <c r="A6" s="437" t="s">
        <v>186</v>
      </c>
      <c r="B6" s="437" t="s">
        <v>187</v>
      </c>
      <c r="C6" s="438" t="s">
        <v>188</v>
      </c>
    </row>
    <row r="7" spans="1:3" s="106" customFormat="1" ht="41.25" customHeight="1" x14ac:dyDescent="0.25">
      <c r="A7" s="102">
        <v>1</v>
      </c>
      <c r="B7" s="103" t="s">
        <v>189</v>
      </c>
      <c r="C7" s="104">
        <v>1369205</v>
      </c>
    </row>
    <row r="8" spans="1:3" s="106" customFormat="1" ht="41.25" customHeight="1" x14ac:dyDescent="0.25">
      <c r="A8" s="102">
        <v>2</v>
      </c>
      <c r="B8" s="103" t="s">
        <v>190</v>
      </c>
      <c r="C8" s="104">
        <v>563172</v>
      </c>
    </row>
    <row r="9" spans="1:3" s="106" customFormat="1" ht="41.25" customHeight="1" x14ac:dyDescent="0.25">
      <c r="A9" s="102">
        <v>3</v>
      </c>
      <c r="B9" s="103" t="s">
        <v>191</v>
      </c>
      <c r="C9" s="104">
        <v>1134489</v>
      </c>
    </row>
    <row r="10" spans="1:3" s="106" customFormat="1" ht="41.25" customHeight="1" x14ac:dyDescent="0.25">
      <c r="A10" s="102">
        <v>4</v>
      </c>
      <c r="B10" s="103" t="s">
        <v>192</v>
      </c>
      <c r="C10" s="104">
        <v>1701554</v>
      </c>
    </row>
    <row r="11" spans="1:3" s="106" customFormat="1" ht="41.25" customHeight="1" x14ac:dyDescent="0.25">
      <c r="A11" s="102">
        <v>5</v>
      </c>
      <c r="B11" s="103" t="s">
        <v>193</v>
      </c>
      <c r="C11" s="104">
        <v>566810</v>
      </c>
    </row>
    <row r="12" spans="1:3" s="106" customFormat="1" ht="41.25" customHeight="1" x14ac:dyDescent="0.25">
      <c r="A12" s="102">
        <v>6</v>
      </c>
      <c r="B12" s="103" t="s">
        <v>194</v>
      </c>
      <c r="C12" s="104">
        <v>546770</v>
      </c>
    </row>
    <row r="13" spans="1:3" s="111" customFormat="1" ht="41.25" customHeight="1" x14ac:dyDescent="0.25">
      <c r="A13" s="107"/>
      <c r="B13" s="108" t="s">
        <v>10</v>
      </c>
      <c r="C13" s="109">
        <f>SUM(C7:C12)</f>
        <v>5882000</v>
      </c>
    </row>
  </sheetData>
  <mergeCells count="1">
    <mergeCell ref="B4:C4"/>
  </mergeCells>
  <pageMargins left="0.9055118110236221" right="0.51181102362204722" top="0.15748031496062992" bottom="0.7480314960629921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5" sqref="A5"/>
    </sheetView>
  </sheetViews>
  <sheetFormatPr defaultRowHeight="12.75" x14ac:dyDescent="0.2"/>
  <cols>
    <col min="1" max="1" width="4.140625" style="54" customWidth="1"/>
    <col min="2" max="2" width="46" style="54" customWidth="1"/>
    <col min="3" max="4" width="19.140625" style="54" hidden="1" customWidth="1"/>
    <col min="5" max="5" width="44" style="54" customWidth="1"/>
    <col min="6" max="7" width="9.140625" style="54"/>
    <col min="8" max="8" width="13.5703125" style="54" customWidth="1"/>
    <col min="9" max="254" width="9.140625" style="54"/>
    <col min="255" max="255" width="4.140625" style="54" customWidth="1"/>
    <col min="256" max="256" width="58.85546875" style="54" customWidth="1"/>
    <col min="257" max="257" width="32.85546875" style="54" customWidth="1"/>
    <col min="258" max="510" width="9.140625" style="54"/>
    <col min="511" max="511" width="4.140625" style="54" customWidth="1"/>
    <col min="512" max="512" width="58.85546875" style="54" customWidth="1"/>
    <col min="513" max="513" width="32.85546875" style="54" customWidth="1"/>
    <col min="514" max="766" width="9.140625" style="54"/>
    <col min="767" max="767" width="4.140625" style="54" customWidth="1"/>
    <col min="768" max="768" width="58.85546875" style="54" customWidth="1"/>
    <col min="769" max="769" width="32.85546875" style="54" customWidth="1"/>
    <col min="770" max="1022" width="9.140625" style="54"/>
    <col min="1023" max="1023" width="4.140625" style="54" customWidth="1"/>
    <col min="1024" max="1024" width="58.85546875" style="54" customWidth="1"/>
    <col min="1025" max="1025" width="32.85546875" style="54" customWidth="1"/>
    <col min="1026" max="1278" width="9.140625" style="54"/>
    <col min="1279" max="1279" width="4.140625" style="54" customWidth="1"/>
    <col min="1280" max="1280" width="58.85546875" style="54" customWidth="1"/>
    <col min="1281" max="1281" width="32.85546875" style="54" customWidth="1"/>
    <col min="1282" max="1534" width="9.140625" style="54"/>
    <col min="1535" max="1535" width="4.140625" style="54" customWidth="1"/>
    <col min="1536" max="1536" width="58.85546875" style="54" customWidth="1"/>
    <col min="1537" max="1537" width="32.85546875" style="54" customWidth="1"/>
    <col min="1538" max="1790" width="9.140625" style="54"/>
    <col min="1791" max="1791" width="4.140625" style="54" customWidth="1"/>
    <col min="1792" max="1792" width="58.85546875" style="54" customWidth="1"/>
    <col min="1793" max="1793" width="32.85546875" style="54" customWidth="1"/>
    <col min="1794" max="2046" width="9.140625" style="54"/>
    <col min="2047" max="2047" width="4.140625" style="54" customWidth="1"/>
    <col min="2048" max="2048" width="58.85546875" style="54" customWidth="1"/>
    <col min="2049" max="2049" width="32.85546875" style="54" customWidth="1"/>
    <col min="2050" max="2302" width="9.140625" style="54"/>
    <col min="2303" max="2303" width="4.140625" style="54" customWidth="1"/>
    <col min="2304" max="2304" width="58.85546875" style="54" customWidth="1"/>
    <col min="2305" max="2305" width="32.85546875" style="54" customWidth="1"/>
    <col min="2306" max="2558" width="9.140625" style="54"/>
    <col min="2559" max="2559" width="4.140625" style="54" customWidth="1"/>
    <col min="2560" max="2560" width="58.85546875" style="54" customWidth="1"/>
    <col min="2561" max="2561" width="32.85546875" style="54" customWidth="1"/>
    <col min="2562" max="2814" width="9.140625" style="54"/>
    <col min="2815" max="2815" width="4.140625" style="54" customWidth="1"/>
    <col min="2816" max="2816" width="58.85546875" style="54" customWidth="1"/>
    <col min="2817" max="2817" width="32.85546875" style="54" customWidth="1"/>
    <col min="2818" max="3070" width="9.140625" style="54"/>
    <col min="3071" max="3071" width="4.140625" style="54" customWidth="1"/>
    <col min="3072" max="3072" width="58.85546875" style="54" customWidth="1"/>
    <col min="3073" max="3073" width="32.85546875" style="54" customWidth="1"/>
    <col min="3074" max="3326" width="9.140625" style="54"/>
    <col min="3327" max="3327" width="4.140625" style="54" customWidth="1"/>
    <col min="3328" max="3328" width="58.85546875" style="54" customWidth="1"/>
    <col min="3329" max="3329" width="32.85546875" style="54" customWidth="1"/>
    <col min="3330" max="3582" width="9.140625" style="54"/>
    <col min="3583" max="3583" width="4.140625" style="54" customWidth="1"/>
    <col min="3584" max="3584" width="58.85546875" style="54" customWidth="1"/>
    <col min="3585" max="3585" width="32.85546875" style="54" customWidth="1"/>
    <col min="3586" max="3838" width="9.140625" style="54"/>
    <col min="3839" max="3839" width="4.140625" style="54" customWidth="1"/>
    <col min="3840" max="3840" width="58.85546875" style="54" customWidth="1"/>
    <col min="3841" max="3841" width="32.85546875" style="54" customWidth="1"/>
    <col min="3842" max="4094" width="9.140625" style="54"/>
    <col min="4095" max="4095" width="4.140625" style="54" customWidth="1"/>
    <col min="4096" max="4096" width="58.85546875" style="54" customWidth="1"/>
    <col min="4097" max="4097" width="32.85546875" style="54" customWidth="1"/>
    <col min="4098" max="4350" width="9.140625" style="54"/>
    <col min="4351" max="4351" width="4.140625" style="54" customWidth="1"/>
    <col min="4352" max="4352" width="58.85546875" style="54" customWidth="1"/>
    <col min="4353" max="4353" width="32.85546875" style="54" customWidth="1"/>
    <col min="4354" max="4606" width="9.140625" style="54"/>
    <col min="4607" max="4607" width="4.140625" style="54" customWidth="1"/>
    <col min="4608" max="4608" width="58.85546875" style="54" customWidth="1"/>
    <col min="4609" max="4609" width="32.85546875" style="54" customWidth="1"/>
    <col min="4610" max="4862" width="9.140625" style="54"/>
    <col min="4863" max="4863" width="4.140625" style="54" customWidth="1"/>
    <col min="4864" max="4864" width="58.85546875" style="54" customWidth="1"/>
    <col min="4865" max="4865" width="32.85546875" style="54" customWidth="1"/>
    <col min="4866" max="5118" width="9.140625" style="54"/>
    <col min="5119" max="5119" width="4.140625" style="54" customWidth="1"/>
    <col min="5120" max="5120" width="58.85546875" style="54" customWidth="1"/>
    <col min="5121" max="5121" width="32.85546875" style="54" customWidth="1"/>
    <col min="5122" max="5374" width="9.140625" style="54"/>
    <col min="5375" max="5375" width="4.140625" style="54" customWidth="1"/>
    <col min="5376" max="5376" width="58.85546875" style="54" customWidth="1"/>
    <col min="5377" max="5377" width="32.85546875" style="54" customWidth="1"/>
    <col min="5378" max="5630" width="9.140625" style="54"/>
    <col min="5631" max="5631" width="4.140625" style="54" customWidth="1"/>
    <col min="5632" max="5632" width="58.85546875" style="54" customWidth="1"/>
    <col min="5633" max="5633" width="32.85546875" style="54" customWidth="1"/>
    <col min="5634" max="5886" width="9.140625" style="54"/>
    <col min="5887" max="5887" width="4.140625" style="54" customWidth="1"/>
    <col min="5888" max="5888" width="58.85546875" style="54" customWidth="1"/>
    <col min="5889" max="5889" width="32.85546875" style="54" customWidth="1"/>
    <col min="5890" max="6142" width="9.140625" style="54"/>
    <col min="6143" max="6143" width="4.140625" style="54" customWidth="1"/>
    <col min="6144" max="6144" width="58.85546875" style="54" customWidth="1"/>
    <col min="6145" max="6145" width="32.85546875" style="54" customWidth="1"/>
    <col min="6146" max="6398" width="9.140625" style="54"/>
    <col min="6399" max="6399" width="4.140625" style="54" customWidth="1"/>
    <col min="6400" max="6400" width="58.85546875" style="54" customWidth="1"/>
    <col min="6401" max="6401" width="32.85546875" style="54" customWidth="1"/>
    <col min="6402" max="6654" width="9.140625" style="54"/>
    <col min="6655" max="6655" width="4.140625" style="54" customWidth="1"/>
    <col min="6656" max="6656" width="58.85546875" style="54" customWidth="1"/>
    <col min="6657" max="6657" width="32.85546875" style="54" customWidth="1"/>
    <col min="6658" max="6910" width="9.140625" style="54"/>
    <col min="6911" max="6911" width="4.140625" style="54" customWidth="1"/>
    <col min="6912" max="6912" width="58.85546875" style="54" customWidth="1"/>
    <col min="6913" max="6913" width="32.85546875" style="54" customWidth="1"/>
    <col min="6914" max="7166" width="9.140625" style="54"/>
    <col min="7167" max="7167" width="4.140625" style="54" customWidth="1"/>
    <col min="7168" max="7168" width="58.85546875" style="54" customWidth="1"/>
    <col min="7169" max="7169" width="32.85546875" style="54" customWidth="1"/>
    <col min="7170" max="7422" width="9.140625" style="54"/>
    <col min="7423" max="7423" width="4.140625" style="54" customWidth="1"/>
    <col min="7424" max="7424" width="58.85546875" style="54" customWidth="1"/>
    <col min="7425" max="7425" width="32.85546875" style="54" customWidth="1"/>
    <col min="7426" max="7678" width="9.140625" style="54"/>
    <col min="7679" max="7679" width="4.140625" style="54" customWidth="1"/>
    <col min="7680" max="7680" width="58.85546875" style="54" customWidth="1"/>
    <col min="7681" max="7681" width="32.85546875" style="54" customWidth="1"/>
    <col min="7682" max="7934" width="9.140625" style="54"/>
    <col min="7935" max="7935" width="4.140625" style="54" customWidth="1"/>
    <col min="7936" max="7936" width="58.85546875" style="54" customWidth="1"/>
    <col min="7937" max="7937" width="32.85546875" style="54" customWidth="1"/>
    <col min="7938" max="8190" width="9.140625" style="54"/>
    <col min="8191" max="8191" width="4.140625" style="54" customWidth="1"/>
    <col min="8192" max="8192" width="58.85546875" style="54" customWidth="1"/>
    <col min="8193" max="8193" width="32.85546875" style="54" customWidth="1"/>
    <col min="8194" max="8446" width="9.140625" style="54"/>
    <col min="8447" max="8447" width="4.140625" style="54" customWidth="1"/>
    <col min="8448" max="8448" width="58.85546875" style="54" customWidth="1"/>
    <col min="8449" max="8449" width="32.85546875" style="54" customWidth="1"/>
    <col min="8450" max="8702" width="9.140625" style="54"/>
    <col min="8703" max="8703" width="4.140625" style="54" customWidth="1"/>
    <col min="8704" max="8704" width="58.85546875" style="54" customWidth="1"/>
    <col min="8705" max="8705" width="32.85546875" style="54" customWidth="1"/>
    <col min="8706" max="8958" width="9.140625" style="54"/>
    <col min="8959" max="8959" width="4.140625" style="54" customWidth="1"/>
    <col min="8960" max="8960" width="58.85546875" style="54" customWidth="1"/>
    <col min="8961" max="8961" width="32.85546875" style="54" customWidth="1"/>
    <col min="8962" max="9214" width="9.140625" style="54"/>
    <col min="9215" max="9215" width="4.140625" style="54" customWidth="1"/>
    <col min="9216" max="9216" width="58.85546875" style="54" customWidth="1"/>
    <col min="9217" max="9217" width="32.85546875" style="54" customWidth="1"/>
    <col min="9218" max="9470" width="9.140625" style="54"/>
    <col min="9471" max="9471" width="4.140625" style="54" customWidth="1"/>
    <col min="9472" max="9472" width="58.85546875" style="54" customWidth="1"/>
    <col min="9473" max="9473" width="32.85546875" style="54" customWidth="1"/>
    <col min="9474" max="9726" width="9.140625" style="54"/>
    <col min="9727" max="9727" width="4.140625" style="54" customWidth="1"/>
    <col min="9728" max="9728" width="58.85546875" style="54" customWidth="1"/>
    <col min="9729" max="9729" width="32.85546875" style="54" customWidth="1"/>
    <col min="9730" max="9982" width="9.140625" style="54"/>
    <col min="9983" max="9983" width="4.140625" style="54" customWidth="1"/>
    <col min="9984" max="9984" width="58.85546875" style="54" customWidth="1"/>
    <col min="9985" max="9985" width="32.85546875" style="54" customWidth="1"/>
    <col min="9986" max="10238" width="9.140625" style="54"/>
    <col min="10239" max="10239" width="4.140625" style="54" customWidth="1"/>
    <col min="10240" max="10240" width="58.85546875" style="54" customWidth="1"/>
    <col min="10241" max="10241" width="32.85546875" style="54" customWidth="1"/>
    <col min="10242" max="10494" width="9.140625" style="54"/>
    <col min="10495" max="10495" width="4.140625" style="54" customWidth="1"/>
    <col min="10496" max="10496" width="58.85546875" style="54" customWidth="1"/>
    <col min="10497" max="10497" width="32.85546875" style="54" customWidth="1"/>
    <col min="10498" max="10750" width="9.140625" style="54"/>
    <col min="10751" max="10751" width="4.140625" style="54" customWidth="1"/>
    <col min="10752" max="10752" width="58.85546875" style="54" customWidth="1"/>
    <col min="10753" max="10753" width="32.85546875" style="54" customWidth="1"/>
    <col min="10754" max="11006" width="9.140625" style="54"/>
    <col min="11007" max="11007" width="4.140625" style="54" customWidth="1"/>
    <col min="11008" max="11008" width="58.85546875" style="54" customWidth="1"/>
    <col min="11009" max="11009" width="32.85546875" style="54" customWidth="1"/>
    <col min="11010" max="11262" width="9.140625" style="54"/>
    <col min="11263" max="11263" width="4.140625" style="54" customWidth="1"/>
    <col min="11264" max="11264" width="58.85546875" style="54" customWidth="1"/>
    <col min="11265" max="11265" width="32.85546875" style="54" customWidth="1"/>
    <col min="11266" max="11518" width="9.140625" style="54"/>
    <col min="11519" max="11519" width="4.140625" style="54" customWidth="1"/>
    <col min="11520" max="11520" width="58.85546875" style="54" customWidth="1"/>
    <col min="11521" max="11521" width="32.85546875" style="54" customWidth="1"/>
    <col min="11522" max="11774" width="9.140625" style="54"/>
    <col min="11775" max="11775" width="4.140625" style="54" customWidth="1"/>
    <col min="11776" max="11776" width="58.85546875" style="54" customWidth="1"/>
    <col min="11777" max="11777" width="32.85546875" style="54" customWidth="1"/>
    <col min="11778" max="12030" width="9.140625" style="54"/>
    <col min="12031" max="12031" width="4.140625" style="54" customWidth="1"/>
    <col min="12032" max="12032" width="58.85546875" style="54" customWidth="1"/>
    <col min="12033" max="12033" width="32.85546875" style="54" customWidth="1"/>
    <col min="12034" max="12286" width="9.140625" style="54"/>
    <col min="12287" max="12287" width="4.140625" style="54" customWidth="1"/>
    <col min="12288" max="12288" width="58.85546875" style="54" customWidth="1"/>
    <col min="12289" max="12289" width="32.85546875" style="54" customWidth="1"/>
    <col min="12290" max="12542" width="9.140625" style="54"/>
    <col min="12543" max="12543" width="4.140625" style="54" customWidth="1"/>
    <col min="12544" max="12544" width="58.85546875" style="54" customWidth="1"/>
    <col min="12545" max="12545" width="32.85546875" style="54" customWidth="1"/>
    <col min="12546" max="12798" width="9.140625" style="54"/>
    <col min="12799" max="12799" width="4.140625" style="54" customWidth="1"/>
    <col min="12800" max="12800" width="58.85546875" style="54" customWidth="1"/>
    <col min="12801" max="12801" width="32.85546875" style="54" customWidth="1"/>
    <col min="12802" max="13054" width="9.140625" style="54"/>
    <col min="13055" max="13055" width="4.140625" style="54" customWidth="1"/>
    <col min="13056" max="13056" width="58.85546875" style="54" customWidth="1"/>
    <col min="13057" max="13057" width="32.85546875" style="54" customWidth="1"/>
    <col min="13058" max="13310" width="9.140625" style="54"/>
    <col min="13311" max="13311" width="4.140625" style="54" customWidth="1"/>
    <col min="13312" max="13312" width="58.85546875" style="54" customWidth="1"/>
    <col min="13313" max="13313" width="32.85546875" style="54" customWidth="1"/>
    <col min="13314" max="13566" width="9.140625" style="54"/>
    <col min="13567" max="13567" width="4.140625" style="54" customWidth="1"/>
    <col min="13568" max="13568" width="58.85546875" style="54" customWidth="1"/>
    <col min="13569" max="13569" width="32.85546875" style="54" customWidth="1"/>
    <col min="13570" max="13822" width="9.140625" style="54"/>
    <col min="13823" max="13823" width="4.140625" style="54" customWidth="1"/>
    <col min="13824" max="13824" width="58.85546875" style="54" customWidth="1"/>
    <col min="13825" max="13825" width="32.85546875" style="54" customWidth="1"/>
    <col min="13826" max="14078" width="9.140625" style="54"/>
    <col min="14079" max="14079" width="4.140625" style="54" customWidth="1"/>
    <col min="14080" max="14080" width="58.85546875" style="54" customWidth="1"/>
    <col min="14081" max="14081" width="32.85546875" style="54" customWidth="1"/>
    <col min="14082" max="14334" width="9.140625" style="54"/>
    <col min="14335" max="14335" width="4.140625" style="54" customWidth="1"/>
    <col min="14336" max="14336" width="58.85546875" style="54" customWidth="1"/>
    <col min="14337" max="14337" width="32.85546875" style="54" customWidth="1"/>
    <col min="14338" max="14590" width="9.140625" style="54"/>
    <col min="14591" max="14591" width="4.140625" style="54" customWidth="1"/>
    <col min="14592" max="14592" width="58.85546875" style="54" customWidth="1"/>
    <col min="14593" max="14593" width="32.85546875" style="54" customWidth="1"/>
    <col min="14594" max="14846" width="9.140625" style="54"/>
    <col min="14847" max="14847" width="4.140625" style="54" customWidth="1"/>
    <col min="14848" max="14848" width="58.85546875" style="54" customWidth="1"/>
    <col min="14849" max="14849" width="32.85546875" style="54" customWidth="1"/>
    <col min="14850" max="15102" width="9.140625" style="54"/>
    <col min="15103" max="15103" width="4.140625" style="54" customWidth="1"/>
    <col min="15104" max="15104" width="58.85546875" style="54" customWidth="1"/>
    <col min="15105" max="15105" width="32.85546875" style="54" customWidth="1"/>
    <col min="15106" max="15358" width="9.140625" style="54"/>
    <col min="15359" max="15359" width="4.140625" style="54" customWidth="1"/>
    <col min="15360" max="15360" width="58.85546875" style="54" customWidth="1"/>
    <col min="15361" max="15361" width="32.85546875" style="54" customWidth="1"/>
    <col min="15362" max="15614" width="9.140625" style="54"/>
    <col min="15615" max="15615" width="4.140625" style="54" customWidth="1"/>
    <col min="15616" max="15616" width="58.85546875" style="54" customWidth="1"/>
    <col min="15617" max="15617" width="32.85546875" style="54" customWidth="1"/>
    <col min="15618" max="15870" width="9.140625" style="54"/>
    <col min="15871" max="15871" width="4.140625" style="54" customWidth="1"/>
    <col min="15872" max="15872" width="58.85546875" style="54" customWidth="1"/>
    <col min="15873" max="15873" width="32.85546875" style="54" customWidth="1"/>
    <col min="15874" max="16126" width="9.140625" style="54"/>
    <col min="16127" max="16127" width="4.140625" style="54" customWidth="1"/>
    <col min="16128" max="16128" width="58.85546875" style="54" customWidth="1"/>
    <col min="16129" max="16129" width="32.85546875" style="54" customWidth="1"/>
    <col min="16130" max="16384" width="9.140625" style="54"/>
  </cols>
  <sheetData>
    <row r="1" spans="1:8" x14ac:dyDescent="0.2">
      <c r="A1" s="51"/>
      <c r="B1" s="52"/>
      <c r="E1" s="514" t="s">
        <v>718</v>
      </c>
    </row>
    <row r="2" spans="1:8" ht="77.25" customHeight="1" x14ac:dyDescent="0.2">
      <c r="A2" s="51"/>
      <c r="B2" s="52"/>
      <c r="D2" s="225"/>
      <c r="E2" s="225" t="s">
        <v>593</v>
      </c>
      <c r="F2" s="225"/>
      <c r="G2" s="225"/>
    </row>
    <row r="3" spans="1:8" ht="12" customHeight="1" x14ac:dyDescent="0.2">
      <c r="A3" s="51"/>
      <c r="B3" s="52"/>
      <c r="E3" s="509" t="s">
        <v>552</v>
      </c>
    </row>
    <row r="4" spans="1:8" s="71" customFormat="1" ht="60.75" customHeight="1" x14ac:dyDescent="0.25">
      <c r="B4" s="606" t="s">
        <v>602</v>
      </c>
      <c r="C4" s="606"/>
      <c r="D4" s="606"/>
      <c r="E4" s="606"/>
    </row>
    <row r="5" spans="1:8" ht="15" x14ac:dyDescent="0.2">
      <c r="A5" s="69"/>
      <c r="B5" s="57"/>
      <c r="C5" s="57"/>
    </row>
    <row r="6" spans="1:8" s="60" customFormat="1" ht="25.5" x14ac:dyDescent="0.25">
      <c r="A6" s="233" t="s">
        <v>186</v>
      </c>
      <c r="B6" s="233" t="s">
        <v>187</v>
      </c>
      <c r="C6" s="234" t="s">
        <v>188</v>
      </c>
      <c r="D6" s="436" t="s">
        <v>811</v>
      </c>
      <c r="E6" s="436" t="s">
        <v>812</v>
      </c>
    </row>
    <row r="7" spans="1:8" s="106" customFormat="1" ht="35.25" customHeight="1" x14ac:dyDescent="0.25">
      <c r="A7" s="102">
        <v>1</v>
      </c>
      <c r="B7" s="103" t="s">
        <v>189</v>
      </c>
      <c r="C7" s="104">
        <v>2783568</v>
      </c>
      <c r="D7" s="461">
        <v>-278356</v>
      </c>
      <c r="E7" s="462">
        <f>C7+D7</f>
        <v>2505212</v>
      </c>
      <c r="F7" s="464"/>
      <c r="H7" s="463"/>
    </row>
    <row r="8" spans="1:8" s="106" customFormat="1" ht="35.25" customHeight="1" x14ac:dyDescent="0.25">
      <c r="A8" s="102">
        <v>2</v>
      </c>
      <c r="B8" s="103" t="s">
        <v>190</v>
      </c>
      <c r="C8" s="104">
        <v>1045409</v>
      </c>
      <c r="D8" s="461">
        <v>-104541</v>
      </c>
      <c r="E8" s="462">
        <f t="shared" ref="E8:E12" si="0">C8+D8</f>
        <v>940868</v>
      </c>
      <c r="F8" s="464"/>
      <c r="H8" s="463"/>
    </row>
    <row r="9" spans="1:8" s="106" customFormat="1" ht="35.25" customHeight="1" x14ac:dyDescent="0.25">
      <c r="A9" s="102">
        <v>3</v>
      </c>
      <c r="B9" s="103" t="s">
        <v>191</v>
      </c>
      <c r="C9" s="104">
        <v>1413904</v>
      </c>
      <c r="D9" s="461">
        <v>-141390</v>
      </c>
      <c r="E9" s="462">
        <f t="shared" si="0"/>
        <v>1272514</v>
      </c>
      <c r="F9" s="464"/>
      <c r="H9" s="463"/>
    </row>
    <row r="10" spans="1:8" s="106" customFormat="1" ht="35.25" customHeight="1" x14ac:dyDescent="0.25">
      <c r="A10" s="102">
        <v>4</v>
      </c>
      <c r="B10" s="103" t="s">
        <v>192</v>
      </c>
      <c r="C10" s="104">
        <v>1152814</v>
      </c>
      <c r="D10" s="461">
        <v>-115282</v>
      </c>
      <c r="E10" s="462">
        <f t="shared" si="0"/>
        <v>1037532</v>
      </c>
      <c r="F10" s="464"/>
      <c r="H10" s="463"/>
    </row>
    <row r="11" spans="1:8" s="106" customFormat="1" ht="35.25" customHeight="1" x14ac:dyDescent="0.25">
      <c r="A11" s="102">
        <v>5</v>
      </c>
      <c r="B11" s="103" t="s">
        <v>193</v>
      </c>
      <c r="C11" s="104">
        <v>1035504</v>
      </c>
      <c r="D11" s="461">
        <v>-103550</v>
      </c>
      <c r="E11" s="462">
        <f t="shared" si="0"/>
        <v>931954</v>
      </c>
      <c r="F11" s="464"/>
      <c r="H11" s="463"/>
    </row>
    <row r="12" spans="1:8" s="106" customFormat="1" ht="35.25" customHeight="1" x14ac:dyDescent="0.25">
      <c r="A12" s="102">
        <v>6</v>
      </c>
      <c r="B12" s="103" t="s">
        <v>194</v>
      </c>
      <c r="C12" s="104">
        <v>1175801</v>
      </c>
      <c r="D12" s="461">
        <v>-117581</v>
      </c>
      <c r="E12" s="462">
        <f t="shared" si="0"/>
        <v>1058220</v>
      </c>
      <c r="F12" s="464"/>
      <c r="H12" s="463"/>
    </row>
    <row r="13" spans="1:8" s="111" customFormat="1" ht="35.25" customHeight="1" x14ac:dyDescent="0.25">
      <c r="A13" s="107"/>
      <c r="B13" s="108" t="s">
        <v>10</v>
      </c>
      <c r="C13" s="109">
        <f>SUM(C7:C12)</f>
        <v>8607000</v>
      </c>
      <c r="D13" s="109">
        <f t="shared" ref="D13:E13" si="1">SUM(D7:D12)</f>
        <v>-860700</v>
      </c>
      <c r="E13" s="109">
        <f t="shared" si="1"/>
        <v>7746300</v>
      </c>
    </row>
    <row r="15" spans="1:8" x14ac:dyDescent="0.2">
      <c r="C15" s="235"/>
    </row>
  </sheetData>
  <mergeCells count="1">
    <mergeCell ref="B4:E4"/>
  </mergeCells>
  <pageMargins left="0.31496062992125984" right="0.31496062992125984"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15" sqref="B15"/>
    </sheetView>
  </sheetViews>
  <sheetFormatPr defaultRowHeight="12.75" x14ac:dyDescent="0.2"/>
  <cols>
    <col min="1" max="1" width="4.140625" style="54" customWidth="1"/>
    <col min="2" max="2" width="58.85546875" style="54" customWidth="1"/>
    <col min="3" max="3" width="35.5703125" style="54" customWidth="1"/>
    <col min="4"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7" x14ac:dyDescent="0.2">
      <c r="A1" s="51"/>
      <c r="B1" s="52"/>
      <c r="C1" s="53" t="s">
        <v>718</v>
      </c>
      <c r="D1" s="52"/>
      <c r="E1" s="52"/>
    </row>
    <row r="2" spans="1:7" ht="75" customHeight="1" x14ac:dyDescent="0.2">
      <c r="A2" s="51"/>
      <c r="B2" s="52"/>
      <c r="C2" s="225" t="s">
        <v>593</v>
      </c>
      <c r="D2" s="225"/>
      <c r="E2" s="225"/>
      <c r="F2" s="225"/>
      <c r="G2" s="225"/>
    </row>
    <row r="3" spans="1:7" x14ac:dyDescent="0.2">
      <c r="A3" s="51"/>
      <c r="B3" s="52"/>
      <c r="C3" s="55" t="s">
        <v>553</v>
      </c>
      <c r="D3" s="52"/>
      <c r="E3" s="52"/>
    </row>
    <row r="4" spans="1:7" x14ac:dyDescent="0.2">
      <c r="A4" s="51"/>
      <c r="B4" s="52"/>
      <c r="C4" s="56"/>
      <c r="D4" s="52"/>
      <c r="E4" s="52"/>
    </row>
    <row r="5" spans="1:7" s="71" customFormat="1" ht="102.75" customHeight="1" x14ac:dyDescent="0.25">
      <c r="A5" s="625"/>
      <c r="B5" s="607" t="s">
        <v>601</v>
      </c>
      <c r="C5" s="607"/>
      <c r="D5" s="70"/>
      <c r="E5" s="70"/>
    </row>
    <row r="6" spans="1:7" ht="14.25" x14ac:dyDescent="0.2">
      <c r="A6" s="626"/>
      <c r="B6" s="627"/>
      <c r="C6" s="627"/>
      <c r="D6" s="52"/>
      <c r="E6" s="52"/>
    </row>
    <row r="7" spans="1:7" s="60" customFormat="1" x14ac:dyDescent="0.25">
      <c r="A7" s="633" t="s">
        <v>186</v>
      </c>
      <c r="B7" s="633" t="s">
        <v>187</v>
      </c>
      <c r="C7" s="634" t="s">
        <v>188</v>
      </c>
      <c r="D7" s="58"/>
      <c r="E7" s="59"/>
    </row>
    <row r="8" spans="1:7" s="60" customFormat="1" x14ac:dyDescent="0.25">
      <c r="A8" s="633"/>
      <c r="B8" s="633"/>
      <c r="C8" s="634"/>
      <c r="D8" s="58"/>
      <c r="E8" s="59"/>
    </row>
    <row r="9" spans="1:7" s="106" customFormat="1" ht="41.25" customHeight="1" x14ac:dyDescent="0.25">
      <c r="A9" s="449">
        <v>1</v>
      </c>
      <c r="B9" s="450" t="s">
        <v>189</v>
      </c>
      <c r="C9" s="451">
        <f>(7+14)*3180</f>
        <v>66780</v>
      </c>
      <c r="D9" s="105"/>
      <c r="E9" s="282"/>
    </row>
    <row r="10" spans="1:7" s="106" customFormat="1" ht="41.25" customHeight="1" x14ac:dyDescent="0.25">
      <c r="A10" s="449">
        <v>2</v>
      </c>
      <c r="B10" s="450" t="s">
        <v>190</v>
      </c>
      <c r="C10" s="451">
        <f>2*3180</f>
        <v>6360</v>
      </c>
      <c r="D10" s="105"/>
      <c r="E10" s="105"/>
    </row>
    <row r="11" spans="1:7" s="106" customFormat="1" ht="41.25" customHeight="1" x14ac:dyDescent="0.25">
      <c r="A11" s="449">
        <v>3</v>
      </c>
      <c r="B11" s="450" t="s">
        <v>191</v>
      </c>
      <c r="C11" s="451">
        <f>1*3180</f>
        <v>3180</v>
      </c>
      <c r="D11" s="105"/>
      <c r="E11" s="105"/>
    </row>
    <row r="12" spans="1:7" s="106" customFormat="1" ht="41.25" customHeight="1" x14ac:dyDescent="0.25">
      <c r="A12" s="449">
        <v>4</v>
      </c>
      <c r="B12" s="450" t="s">
        <v>192</v>
      </c>
      <c r="C12" s="451">
        <f>3*3180</f>
        <v>9540</v>
      </c>
      <c r="D12" s="105"/>
      <c r="E12" s="105"/>
    </row>
    <row r="13" spans="1:7" s="106" customFormat="1" ht="41.25" customHeight="1" x14ac:dyDescent="0.25">
      <c r="A13" s="449">
        <v>5</v>
      </c>
      <c r="B13" s="450" t="s">
        <v>193</v>
      </c>
      <c r="C13" s="451">
        <f>1*3180</f>
        <v>3180</v>
      </c>
      <c r="D13" s="105"/>
      <c r="E13" s="105"/>
    </row>
    <row r="14" spans="1:7" s="106" customFormat="1" ht="41.25" customHeight="1" x14ac:dyDescent="0.25">
      <c r="A14" s="449">
        <v>6</v>
      </c>
      <c r="B14" s="450" t="s">
        <v>194</v>
      </c>
      <c r="C14" s="451">
        <f>2*3180</f>
        <v>6360</v>
      </c>
      <c r="D14" s="105"/>
      <c r="E14" s="105"/>
    </row>
    <row r="15" spans="1:7" s="111" customFormat="1" ht="41.25" customHeight="1" x14ac:dyDescent="0.25">
      <c r="A15" s="453"/>
      <c r="B15" s="454" t="s">
        <v>10</v>
      </c>
      <c r="C15" s="455">
        <f>SUM(C9:C14)</f>
        <v>95400</v>
      </c>
      <c r="D15" s="110"/>
      <c r="E15" s="110"/>
    </row>
  </sheetData>
  <mergeCells count="4">
    <mergeCell ref="B5:C5"/>
    <mergeCell ref="A7:A8"/>
    <mergeCell ref="B7:B8"/>
    <mergeCell ref="C7:C8"/>
  </mergeCells>
  <pageMargins left="0.9055118110236221" right="0.70866141732283472"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12" sqref="E12"/>
    </sheetView>
  </sheetViews>
  <sheetFormatPr defaultRowHeight="12.75" x14ac:dyDescent="0.2"/>
  <cols>
    <col min="1" max="1" width="4.140625" style="54" customWidth="1"/>
    <col min="2" max="2" width="49.28515625" style="54" customWidth="1"/>
    <col min="3" max="4" width="16.5703125" style="54" hidden="1" customWidth="1"/>
    <col min="5" max="5" width="41.42578125" style="54" customWidth="1"/>
    <col min="6"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7" x14ac:dyDescent="0.2">
      <c r="A1" s="51"/>
      <c r="B1" s="52"/>
      <c r="D1" s="52"/>
      <c r="E1" s="514" t="s">
        <v>718</v>
      </c>
    </row>
    <row r="2" spans="1:7" ht="68.25" customHeight="1" x14ac:dyDescent="0.2">
      <c r="A2" s="51"/>
      <c r="B2" s="52"/>
      <c r="D2" s="225"/>
      <c r="E2" s="225" t="s">
        <v>593</v>
      </c>
      <c r="F2" s="225"/>
      <c r="G2" s="225"/>
    </row>
    <row r="3" spans="1:7" x14ac:dyDescent="0.2">
      <c r="A3" s="51"/>
      <c r="B3" s="52"/>
      <c r="D3" s="52"/>
      <c r="E3" s="509" t="s">
        <v>554</v>
      </c>
    </row>
    <row r="4" spans="1:7" x14ac:dyDescent="0.2">
      <c r="A4" s="51"/>
      <c r="B4" s="52"/>
      <c r="C4" s="56"/>
      <c r="D4" s="52"/>
      <c r="E4" s="52"/>
    </row>
    <row r="5" spans="1:7" s="71" customFormat="1" ht="102.75" customHeight="1" x14ac:dyDescent="0.25">
      <c r="A5" s="625"/>
      <c r="B5" s="607" t="s">
        <v>697</v>
      </c>
      <c r="C5" s="607"/>
      <c r="D5" s="607"/>
      <c r="E5" s="607"/>
    </row>
    <row r="6" spans="1:7" ht="14.25" x14ac:dyDescent="0.2">
      <c r="A6" s="626"/>
      <c r="B6" s="627"/>
      <c r="C6" s="627"/>
      <c r="D6" s="628"/>
      <c r="E6" s="628"/>
    </row>
    <row r="7" spans="1:7" s="60" customFormat="1" ht="37.5" customHeight="1" x14ac:dyDescent="0.25">
      <c r="A7" s="629" t="s">
        <v>186</v>
      </c>
      <c r="B7" s="629" t="s">
        <v>187</v>
      </c>
      <c r="C7" s="630" t="s">
        <v>188</v>
      </c>
      <c r="D7" s="631" t="s">
        <v>811</v>
      </c>
      <c r="E7" s="631" t="s">
        <v>547</v>
      </c>
    </row>
    <row r="8" spans="1:7" s="106" customFormat="1" ht="41.25" customHeight="1" x14ac:dyDescent="0.25">
      <c r="A8" s="449">
        <v>1</v>
      </c>
      <c r="B8" s="450" t="s">
        <v>189</v>
      </c>
      <c r="C8" s="451">
        <v>428902</v>
      </c>
      <c r="D8" s="632">
        <v>-39699</v>
      </c>
      <c r="E8" s="457">
        <f>C8+D8</f>
        <v>389203</v>
      </c>
    </row>
    <row r="9" spans="1:7" s="106" customFormat="1" ht="41.25" customHeight="1" x14ac:dyDescent="0.25">
      <c r="A9" s="449">
        <v>2</v>
      </c>
      <c r="B9" s="450" t="s">
        <v>190</v>
      </c>
      <c r="C9" s="451">
        <v>57187</v>
      </c>
      <c r="D9" s="632">
        <v>-5293</v>
      </c>
      <c r="E9" s="457">
        <f t="shared" ref="E9:E13" si="0">C9+D9</f>
        <v>51894</v>
      </c>
    </row>
    <row r="10" spans="1:7" s="106" customFormat="1" ht="41.25" customHeight="1" x14ac:dyDescent="0.25">
      <c r="A10" s="449">
        <v>3</v>
      </c>
      <c r="B10" s="450" t="s">
        <v>191</v>
      </c>
      <c r="C10" s="451">
        <v>57187</v>
      </c>
      <c r="D10" s="632">
        <v>-5293</v>
      </c>
      <c r="E10" s="457">
        <f t="shared" si="0"/>
        <v>51894</v>
      </c>
    </row>
    <row r="11" spans="1:7" s="106" customFormat="1" ht="41.25" customHeight="1" x14ac:dyDescent="0.25">
      <c r="A11" s="449">
        <v>4</v>
      </c>
      <c r="B11" s="450" t="s">
        <v>192</v>
      </c>
      <c r="C11" s="451">
        <v>142967</v>
      </c>
      <c r="D11" s="632">
        <v>-13234</v>
      </c>
      <c r="E11" s="457">
        <f t="shared" si="0"/>
        <v>129733</v>
      </c>
    </row>
    <row r="12" spans="1:7" s="106" customFormat="1" ht="41.25" customHeight="1" x14ac:dyDescent="0.25">
      <c r="A12" s="449">
        <v>5</v>
      </c>
      <c r="B12" s="450" t="s">
        <v>193</v>
      </c>
      <c r="C12" s="451">
        <v>57187</v>
      </c>
      <c r="D12" s="632">
        <v>-5293</v>
      </c>
      <c r="E12" s="457">
        <f t="shared" si="0"/>
        <v>51894</v>
      </c>
    </row>
    <row r="13" spans="1:7" s="106" customFormat="1" ht="41.25" customHeight="1" x14ac:dyDescent="0.25">
      <c r="A13" s="449">
        <v>6</v>
      </c>
      <c r="B13" s="450" t="s">
        <v>194</v>
      </c>
      <c r="C13" s="451">
        <v>57187</v>
      </c>
      <c r="D13" s="632">
        <v>-5293</v>
      </c>
      <c r="E13" s="457">
        <f t="shared" si="0"/>
        <v>51894</v>
      </c>
    </row>
    <row r="14" spans="1:7" s="111" customFormat="1" ht="41.25" customHeight="1" x14ac:dyDescent="0.25">
      <c r="A14" s="453"/>
      <c r="B14" s="454" t="s">
        <v>10</v>
      </c>
      <c r="C14" s="455">
        <f>SUM(C8:C13)</f>
        <v>800617</v>
      </c>
      <c r="D14" s="455">
        <f t="shared" ref="D14:E14" si="1">SUM(D8:D13)</f>
        <v>-74105</v>
      </c>
      <c r="E14" s="455">
        <f t="shared" si="1"/>
        <v>726512</v>
      </c>
    </row>
  </sheetData>
  <mergeCells count="1">
    <mergeCell ref="B5:E5"/>
  </mergeCells>
  <pageMargins left="0.70866141732283472" right="0.51181102362204722"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B8" sqref="B8"/>
    </sheetView>
  </sheetViews>
  <sheetFormatPr defaultRowHeight="15" x14ac:dyDescent="0.25"/>
  <cols>
    <col min="1" max="1" width="6.5703125" customWidth="1"/>
    <col min="2" max="2" width="57.140625" customWidth="1"/>
    <col min="3" max="3" width="27.42578125" customWidth="1"/>
  </cols>
  <sheetData>
    <row r="1" spans="1:10" s="147" customFormat="1" ht="11.25" x14ac:dyDescent="0.2">
      <c r="C1" s="148" t="s">
        <v>719</v>
      </c>
    </row>
    <row r="2" spans="1:10" s="147" customFormat="1" ht="90" customHeight="1" x14ac:dyDescent="0.2">
      <c r="C2" s="484" t="s">
        <v>593</v>
      </c>
      <c r="D2" s="225"/>
      <c r="E2" s="225"/>
    </row>
    <row r="3" spans="1:10" s="147" customFormat="1" ht="11.25" x14ac:dyDescent="0.2">
      <c r="C3" s="122" t="s">
        <v>555</v>
      </c>
    </row>
    <row r="4" spans="1:10" s="149" customFormat="1" x14ac:dyDescent="0.2"/>
    <row r="5" spans="1:10" s="149" customFormat="1" ht="102.75" customHeight="1" x14ac:dyDescent="0.25">
      <c r="A5" s="150"/>
      <c r="B5" s="607" t="s">
        <v>698</v>
      </c>
      <c r="C5" s="607"/>
      <c r="D5" s="151"/>
      <c r="E5" s="151"/>
      <c r="F5" s="151"/>
      <c r="G5" s="151"/>
      <c r="H5" s="151"/>
      <c r="I5" s="152"/>
      <c r="J5" s="152"/>
    </row>
    <row r="6" spans="1:10" s="149" customFormat="1" ht="15.75" x14ac:dyDescent="0.25">
      <c r="A6" s="150"/>
      <c r="B6" s="153"/>
      <c r="C6" s="153"/>
      <c r="D6" s="153"/>
      <c r="E6" s="153"/>
      <c r="F6" s="153"/>
      <c r="G6" s="153"/>
      <c r="H6" s="154"/>
      <c r="I6" s="152"/>
      <c r="J6" s="152"/>
    </row>
    <row r="7" spans="1:10" s="60" customFormat="1" ht="25.5" customHeight="1" x14ac:dyDescent="0.25">
      <c r="A7" s="437" t="s">
        <v>186</v>
      </c>
      <c r="B7" s="439" t="s">
        <v>187</v>
      </c>
      <c r="C7" s="438" t="s">
        <v>563</v>
      </c>
    </row>
    <row r="8" spans="1:10" s="149" customFormat="1" ht="30.75" customHeight="1" x14ac:dyDescent="0.2">
      <c r="A8" s="61">
        <v>1</v>
      </c>
      <c r="B8" s="62" t="s">
        <v>189</v>
      </c>
      <c r="C8" s="63">
        <v>200</v>
      </c>
    </row>
    <row r="9" spans="1:10" s="68" customFormat="1" ht="30.75" customHeight="1" x14ac:dyDescent="0.25">
      <c r="A9" s="64"/>
      <c r="B9" s="65" t="s">
        <v>10</v>
      </c>
      <c r="C9" s="66">
        <f>SUM(C8:C8)</f>
        <v>200</v>
      </c>
    </row>
    <row r="10" spans="1:10" s="149" customFormat="1" ht="15.75" x14ac:dyDescent="0.25">
      <c r="A10" s="155"/>
      <c r="B10" s="155"/>
      <c r="C10" s="156"/>
      <c r="D10" s="156"/>
      <c r="E10" s="156"/>
      <c r="F10" s="156"/>
      <c r="G10" s="156"/>
      <c r="H10" s="152"/>
      <c r="I10" s="152"/>
      <c r="J10" s="152"/>
    </row>
  </sheetData>
  <mergeCells count="1">
    <mergeCell ref="B5:C5"/>
  </mergeCells>
  <pageMargins left="0.9055118110236221" right="0.51181102362204722" top="0.74803149606299213" bottom="0.74803149606299213" header="0.31496062992125984" footer="0.31496062992125984"/>
  <pageSetup paperSize="9" scale="8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3" sqref="C3"/>
    </sheetView>
  </sheetViews>
  <sheetFormatPr defaultRowHeight="12.75" x14ac:dyDescent="0.2"/>
  <cols>
    <col min="1" max="1" width="4.140625" style="54" customWidth="1"/>
    <col min="2" max="2" width="49.28515625" style="54" customWidth="1"/>
    <col min="3" max="3" width="37.28515625" style="54" customWidth="1"/>
    <col min="4" max="254" width="9.140625" style="54"/>
    <col min="255" max="255" width="4.140625" style="54" customWidth="1"/>
    <col min="256" max="256" width="58.85546875" style="54" customWidth="1"/>
    <col min="257" max="257" width="32.85546875" style="54" customWidth="1"/>
    <col min="258" max="510" width="9.140625" style="54"/>
    <col min="511" max="511" width="4.140625" style="54" customWidth="1"/>
    <col min="512" max="512" width="58.85546875" style="54" customWidth="1"/>
    <col min="513" max="513" width="32.85546875" style="54" customWidth="1"/>
    <col min="514" max="766" width="9.140625" style="54"/>
    <col min="767" max="767" width="4.140625" style="54" customWidth="1"/>
    <col min="768" max="768" width="58.85546875" style="54" customWidth="1"/>
    <col min="769" max="769" width="32.85546875" style="54" customWidth="1"/>
    <col min="770" max="1022" width="9.140625" style="54"/>
    <col min="1023" max="1023" width="4.140625" style="54" customWidth="1"/>
    <col min="1024" max="1024" width="58.85546875" style="54" customWidth="1"/>
    <col min="1025" max="1025" width="32.85546875" style="54" customWidth="1"/>
    <col min="1026" max="1278" width="9.140625" style="54"/>
    <col min="1279" max="1279" width="4.140625" style="54" customWidth="1"/>
    <col min="1280" max="1280" width="58.85546875" style="54" customWidth="1"/>
    <col min="1281" max="1281" width="32.85546875" style="54" customWidth="1"/>
    <col min="1282" max="1534" width="9.140625" style="54"/>
    <col min="1535" max="1535" width="4.140625" style="54" customWidth="1"/>
    <col min="1536" max="1536" width="58.85546875" style="54" customWidth="1"/>
    <col min="1537" max="1537" width="32.85546875" style="54" customWidth="1"/>
    <col min="1538" max="1790" width="9.140625" style="54"/>
    <col min="1791" max="1791" width="4.140625" style="54" customWidth="1"/>
    <col min="1792" max="1792" width="58.85546875" style="54" customWidth="1"/>
    <col min="1793" max="1793" width="32.85546875" style="54" customWidth="1"/>
    <col min="1794" max="2046" width="9.140625" style="54"/>
    <col min="2047" max="2047" width="4.140625" style="54" customWidth="1"/>
    <col min="2048" max="2048" width="58.85546875" style="54" customWidth="1"/>
    <col min="2049" max="2049" width="32.85546875" style="54" customWidth="1"/>
    <col min="2050" max="2302" width="9.140625" style="54"/>
    <col min="2303" max="2303" width="4.140625" style="54" customWidth="1"/>
    <col min="2304" max="2304" width="58.85546875" style="54" customWidth="1"/>
    <col min="2305" max="2305" width="32.85546875" style="54" customWidth="1"/>
    <col min="2306" max="2558" width="9.140625" style="54"/>
    <col min="2559" max="2559" width="4.140625" style="54" customWidth="1"/>
    <col min="2560" max="2560" width="58.85546875" style="54" customWidth="1"/>
    <col min="2561" max="2561" width="32.85546875" style="54" customWidth="1"/>
    <col min="2562" max="2814" width="9.140625" style="54"/>
    <col min="2815" max="2815" width="4.140625" style="54" customWidth="1"/>
    <col min="2816" max="2816" width="58.85546875" style="54" customWidth="1"/>
    <col min="2817" max="2817" width="32.85546875" style="54" customWidth="1"/>
    <col min="2818" max="3070" width="9.140625" style="54"/>
    <col min="3071" max="3071" width="4.140625" style="54" customWidth="1"/>
    <col min="3072" max="3072" width="58.85546875" style="54" customWidth="1"/>
    <col min="3073" max="3073" width="32.85546875" style="54" customWidth="1"/>
    <col min="3074" max="3326" width="9.140625" style="54"/>
    <col min="3327" max="3327" width="4.140625" style="54" customWidth="1"/>
    <col min="3328" max="3328" width="58.85546875" style="54" customWidth="1"/>
    <col min="3329" max="3329" width="32.85546875" style="54" customWidth="1"/>
    <col min="3330" max="3582" width="9.140625" style="54"/>
    <col min="3583" max="3583" width="4.140625" style="54" customWidth="1"/>
    <col min="3584" max="3584" width="58.85546875" style="54" customWidth="1"/>
    <col min="3585" max="3585" width="32.85546875" style="54" customWidth="1"/>
    <col min="3586" max="3838" width="9.140625" style="54"/>
    <col min="3839" max="3839" width="4.140625" style="54" customWidth="1"/>
    <col min="3840" max="3840" width="58.85546875" style="54" customWidth="1"/>
    <col min="3841" max="3841" width="32.85546875" style="54" customWidth="1"/>
    <col min="3842" max="4094" width="9.140625" style="54"/>
    <col min="4095" max="4095" width="4.140625" style="54" customWidth="1"/>
    <col min="4096" max="4096" width="58.85546875" style="54" customWidth="1"/>
    <col min="4097" max="4097" width="32.85546875" style="54" customWidth="1"/>
    <col min="4098" max="4350" width="9.140625" style="54"/>
    <col min="4351" max="4351" width="4.140625" style="54" customWidth="1"/>
    <col min="4352" max="4352" width="58.85546875" style="54" customWidth="1"/>
    <col min="4353" max="4353" width="32.85546875" style="54" customWidth="1"/>
    <col min="4354" max="4606" width="9.140625" style="54"/>
    <col min="4607" max="4607" width="4.140625" style="54" customWidth="1"/>
    <col min="4608" max="4608" width="58.85546875" style="54" customWidth="1"/>
    <col min="4609" max="4609" width="32.85546875" style="54" customWidth="1"/>
    <col min="4610" max="4862" width="9.140625" style="54"/>
    <col min="4863" max="4863" width="4.140625" style="54" customWidth="1"/>
    <col min="4864" max="4864" width="58.85546875" style="54" customWidth="1"/>
    <col min="4865" max="4865" width="32.85546875" style="54" customWidth="1"/>
    <col min="4866" max="5118" width="9.140625" style="54"/>
    <col min="5119" max="5119" width="4.140625" style="54" customWidth="1"/>
    <col min="5120" max="5120" width="58.85546875" style="54" customWidth="1"/>
    <col min="5121" max="5121" width="32.85546875" style="54" customWidth="1"/>
    <col min="5122" max="5374" width="9.140625" style="54"/>
    <col min="5375" max="5375" width="4.140625" style="54" customWidth="1"/>
    <col min="5376" max="5376" width="58.85546875" style="54" customWidth="1"/>
    <col min="5377" max="5377" width="32.85546875" style="54" customWidth="1"/>
    <col min="5378" max="5630" width="9.140625" style="54"/>
    <col min="5631" max="5631" width="4.140625" style="54" customWidth="1"/>
    <col min="5632" max="5632" width="58.85546875" style="54" customWidth="1"/>
    <col min="5633" max="5633" width="32.85546875" style="54" customWidth="1"/>
    <col min="5634" max="5886" width="9.140625" style="54"/>
    <col min="5887" max="5887" width="4.140625" style="54" customWidth="1"/>
    <col min="5888" max="5888" width="58.85546875" style="54" customWidth="1"/>
    <col min="5889" max="5889" width="32.85546875" style="54" customWidth="1"/>
    <col min="5890" max="6142" width="9.140625" style="54"/>
    <col min="6143" max="6143" width="4.140625" style="54" customWidth="1"/>
    <col min="6144" max="6144" width="58.85546875" style="54" customWidth="1"/>
    <col min="6145" max="6145" width="32.85546875" style="54" customWidth="1"/>
    <col min="6146" max="6398" width="9.140625" style="54"/>
    <col min="6399" max="6399" width="4.140625" style="54" customWidth="1"/>
    <col min="6400" max="6400" width="58.85546875" style="54" customWidth="1"/>
    <col min="6401" max="6401" width="32.85546875" style="54" customWidth="1"/>
    <col min="6402" max="6654" width="9.140625" style="54"/>
    <col min="6655" max="6655" width="4.140625" style="54" customWidth="1"/>
    <col min="6656" max="6656" width="58.85546875" style="54" customWidth="1"/>
    <col min="6657" max="6657" width="32.85546875" style="54" customWidth="1"/>
    <col min="6658" max="6910" width="9.140625" style="54"/>
    <col min="6911" max="6911" width="4.140625" style="54" customWidth="1"/>
    <col min="6912" max="6912" width="58.85546875" style="54" customWidth="1"/>
    <col min="6913" max="6913" width="32.85546875" style="54" customWidth="1"/>
    <col min="6914" max="7166" width="9.140625" style="54"/>
    <col min="7167" max="7167" width="4.140625" style="54" customWidth="1"/>
    <col min="7168" max="7168" width="58.85546875" style="54" customWidth="1"/>
    <col min="7169" max="7169" width="32.85546875" style="54" customWidth="1"/>
    <col min="7170" max="7422" width="9.140625" style="54"/>
    <col min="7423" max="7423" width="4.140625" style="54" customWidth="1"/>
    <col min="7424" max="7424" width="58.85546875" style="54" customWidth="1"/>
    <col min="7425" max="7425" width="32.85546875" style="54" customWidth="1"/>
    <col min="7426" max="7678" width="9.140625" style="54"/>
    <col min="7679" max="7679" width="4.140625" style="54" customWidth="1"/>
    <col min="7680" max="7680" width="58.85546875" style="54" customWidth="1"/>
    <col min="7681" max="7681" width="32.85546875" style="54" customWidth="1"/>
    <col min="7682" max="7934" width="9.140625" style="54"/>
    <col min="7935" max="7935" width="4.140625" style="54" customWidth="1"/>
    <col min="7936" max="7936" width="58.85546875" style="54" customWidth="1"/>
    <col min="7937" max="7937" width="32.85546875" style="54" customWidth="1"/>
    <col min="7938" max="8190" width="9.140625" style="54"/>
    <col min="8191" max="8191" width="4.140625" style="54" customWidth="1"/>
    <col min="8192" max="8192" width="58.85546875" style="54" customWidth="1"/>
    <col min="8193" max="8193" width="32.85546875" style="54" customWidth="1"/>
    <col min="8194" max="8446" width="9.140625" style="54"/>
    <col min="8447" max="8447" width="4.140625" style="54" customWidth="1"/>
    <col min="8448" max="8448" width="58.85546875" style="54" customWidth="1"/>
    <col min="8449" max="8449" width="32.85546875" style="54" customWidth="1"/>
    <col min="8450" max="8702" width="9.140625" style="54"/>
    <col min="8703" max="8703" width="4.140625" style="54" customWidth="1"/>
    <col min="8704" max="8704" width="58.85546875" style="54" customWidth="1"/>
    <col min="8705" max="8705" width="32.85546875" style="54" customWidth="1"/>
    <col min="8706" max="8958" width="9.140625" style="54"/>
    <col min="8959" max="8959" width="4.140625" style="54" customWidth="1"/>
    <col min="8960" max="8960" width="58.85546875" style="54" customWidth="1"/>
    <col min="8961" max="8961" width="32.85546875" style="54" customWidth="1"/>
    <col min="8962" max="9214" width="9.140625" style="54"/>
    <col min="9215" max="9215" width="4.140625" style="54" customWidth="1"/>
    <col min="9216" max="9216" width="58.85546875" style="54" customWidth="1"/>
    <col min="9217" max="9217" width="32.85546875" style="54" customWidth="1"/>
    <col min="9218" max="9470" width="9.140625" style="54"/>
    <col min="9471" max="9471" width="4.140625" style="54" customWidth="1"/>
    <col min="9472" max="9472" width="58.85546875" style="54" customWidth="1"/>
    <col min="9473" max="9473" width="32.85546875" style="54" customWidth="1"/>
    <col min="9474" max="9726" width="9.140625" style="54"/>
    <col min="9727" max="9727" width="4.140625" style="54" customWidth="1"/>
    <col min="9728" max="9728" width="58.85546875" style="54" customWidth="1"/>
    <col min="9729" max="9729" width="32.85546875" style="54" customWidth="1"/>
    <col min="9730" max="9982" width="9.140625" style="54"/>
    <col min="9983" max="9983" width="4.140625" style="54" customWidth="1"/>
    <col min="9984" max="9984" width="58.85546875" style="54" customWidth="1"/>
    <col min="9985" max="9985" width="32.85546875" style="54" customWidth="1"/>
    <col min="9986" max="10238" width="9.140625" style="54"/>
    <col min="10239" max="10239" width="4.140625" style="54" customWidth="1"/>
    <col min="10240" max="10240" width="58.85546875" style="54" customWidth="1"/>
    <col min="10241" max="10241" width="32.85546875" style="54" customWidth="1"/>
    <col min="10242" max="10494" width="9.140625" style="54"/>
    <col min="10495" max="10495" width="4.140625" style="54" customWidth="1"/>
    <col min="10496" max="10496" width="58.85546875" style="54" customWidth="1"/>
    <col min="10497" max="10497" width="32.85546875" style="54" customWidth="1"/>
    <col min="10498" max="10750" width="9.140625" style="54"/>
    <col min="10751" max="10751" width="4.140625" style="54" customWidth="1"/>
    <col min="10752" max="10752" width="58.85546875" style="54" customWidth="1"/>
    <col min="10753" max="10753" width="32.85546875" style="54" customWidth="1"/>
    <col min="10754" max="11006" width="9.140625" style="54"/>
    <col min="11007" max="11007" width="4.140625" style="54" customWidth="1"/>
    <col min="11008" max="11008" width="58.85546875" style="54" customWidth="1"/>
    <col min="11009" max="11009" width="32.85546875" style="54" customWidth="1"/>
    <col min="11010" max="11262" width="9.140625" style="54"/>
    <col min="11263" max="11263" width="4.140625" style="54" customWidth="1"/>
    <col min="11264" max="11264" width="58.85546875" style="54" customWidth="1"/>
    <col min="11265" max="11265" width="32.85546875" style="54" customWidth="1"/>
    <col min="11266" max="11518" width="9.140625" style="54"/>
    <col min="11519" max="11519" width="4.140625" style="54" customWidth="1"/>
    <col min="11520" max="11520" width="58.85546875" style="54" customWidth="1"/>
    <col min="11521" max="11521" width="32.85546875" style="54" customWidth="1"/>
    <col min="11522" max="11774" width="9.140625" style="54"/>
    <col min="11775" max="11775" width="4.140625" style="54" customWidth="1"/>
    <col min="11776" max="11776" width="58.85546875" style="54" customWidth="1"/>
    <col min="11777" max="11777" width="32.85546875" style="54" customWidth="1"/>
    <col min="11778" max="12030" width="9.140625" style="54"/>
    <col min="12031" max="12031" width="4.140625" style="54" customWidth="1"/>
    <col min="12032" max="12032" width="58.85546875" style="54" customWidth="1"/>
    <col min="12033" max="12033" width="32.85546875" style="54" customWidth="1"/>
    <col min="12034" max="12286" width="9.140625" style="54"/>
    <col min="12287" max="12287" width="4.140625" style="54" customWidth="1"/>
    <col min="12288" max="12288" width="58.85546875" style="54" customWidth="1"/>
    <col min="12289" max="12289" width="32.85546875" style="54" customWidth="1"/>
    <col min="12290" max="12542" width="9.140625" style="54"/>
    <col min="12543" max="12543" width="4.140625" style="54" customWidth="1"/>
    <col min="12544" max="12544" width="58.85546875" style="54" customWidth="1"/>
    <col min="12545" max="12545" width="32.85546875" style="54" customWidth="1"/>
    <col min="12546" max="12798" width="9.140625" style="54"/>
    <col min="12799" max="12799" width="4.140625" style="54" customWidth="1"/>
    <col min="12800" max="12800" width="58.85546875" style="54" customWidth="1"/>
    <col min="12801" max="12801" width="32.85546875" style="54" customWidth="1"/>
    <col min="12802" max="13054" width="9.140625" style="54"/>
    <col min="13055" max="13055" width="4.140625" style="54" customWidth="1"/>
    <col min="13056" max="13056" width="58.85546875" style="54" customWidth="1"/>
    <col min="13057" max="13057" width="32.85546875" style="54" customWidth="1"/>
    <col min="13058" max="13310" width="9.140625" style="54"/>
    <col min="13311" max="13311" width="4.140625" style="54" customWidth="1"/>
    <col min="13312" max="13312" width="58.85546875" style="54" customWidth="1"/>
    <col min="13313" max="13313" width="32.85546875" style="54" customWidth="1"/>
    <col min="13314" max="13566" width="9.140625" style="54"/>
    <col min="13567" max="13567" width="4.140625" style="54" customWidth="1"/>
    <col min="13568" max="13568" width="58.85546875" style="54" customWidth="1"/>
    <col min="13569" max="13569" width="32.85546875" style="54" customWidth="1"/>
    <col min="13570" max="13822" width="9.140625" style="54"/>
    <col min="13823" max="13823" width="4.140625" style="54" customWidth="1"/>
    <col min="13824" max="13824" width="58.85546875" style="54" customWidth="1"/>
    <col min="13825" max="13825" width="32.85546875" style="54" customWidth="1"/>
    <col min="13826" max="14078" width="9.140625" style="54"/>
    <col min="14079" max="14079" width="4.140625" style="54" customWidth="1"/>
    <col min="14080" max="14080" width="58.85546875" style="54" customWidth="1"/>
    <col min="14081" max="14081" width="32.85546875" style="54" customWidth="1"/>
    <col min="14082" max="14334" width="9.140625" style="54"/>
    <col min="14335" max="14335" width="4.140625" style="54" customWidth="1"/>
    <col min="14336" max="14336" width="58.85546875" style="54" customWidth="1"/>
    <col min="14337" max="14337" width="32.85546875" style="54" customWidth="1"/>
    <col min="14338" max="14590" width="9.140625" style="54"/>
    <col min="14591" max="14591" width="4.140625" style="54" customWidth="1"/>
    <col min="14592" max="14592" width="58.85546875" style="54" customWidth="1"/>
    <col min="14593" max="14593" width="32.85546875" style="54" customWidth="1"/>
    <col min="14594" max="14846" width="9.140625" style="54"/>
    <col min="14847" max="14847" width="4.140625" style="54" customWidth="1"/>
    <col min="14848" max="14848" width="58.85546875" style="54" customWidth="1"/>
    <col min="14849" max="14849" width="32.85546875" style="54" customWidth="1"/>
    <col min="14850" max="15102" width="9.140625" style="54"/>
    <col min="15103" max="15103" width="4.140625" style="54" customWidth="1"/>
    <col min="15104" max="15104" width="58.85546875" style="54" customWidth="1"/>
    <col min="15105" max="15105" width="32.85546875" style="54" customWidth="1"/>
    <col min="15106" max="15358" width="9.140625" style="54"/>
    <col min="15359" max="15359" width="4.140625" style="54" customWidth="1"/>
    <col min="15360" max="15360" width="58.85546875" style="54" customWidth="1"/>
    <col min="15361" max="15361" width="32.85546875" style="54" customWidth="1"/>
    <col min="15362" max="15614" width="9.140625" style="54"/>
    <col min="15615" max="15615" width="4.140625" style="54" customWidth="1"/>
    <col min="15616" max="15616" width="58.85546875" style="54" customWidth="1"/>
    <col min="15617" max="15617" width="32.85546875" style="54" customWidth="1"/>
    <col min="15618" max="15870" width="9.140625" style="54"/>
    <col min="15871" max="15871" width="4.140625" style="54" customWidth="1"/>
    <col min="15872" max="15872" width="58.85546875" style="54" customWidth="1"/>
    <col min="15873" max="15873" width="32.85546875" style="54" customWidth="1"/>
    <col min="15874" max="16126" width="9.140625" style="54"/>
    <col min="16127" max="16127" width="4.140625" style="54" customWidth="1"/>
    <col min="16128" max="16128" width="58.85546875" style="54" customWidth="1"/>
    <col min="16129" max="16129" width="32.85546875" style="54" customWidth="1"/>
    <col min="16130" max="16384" width="9.140625" style="54"/>
  </cols>
  <sheetData>
    <row r="1" spans="1:5" x14ac:dyDescent="0.2">
      <c r="A1" s="51"/>
      <c r="B1" s="52"/>
      <c r="C1" s="481" t="s">
        <v>718</v>
      </c>
    </row>
    <row r="2" spans="1:5" ht="73.5" customHeight="1" x14ac:dyDescent="0.2">
      <c r="A2" s="51"/>
      <c r="B2" s="52"/>
      <c r="C2" s="474" t="s">
        <v>593</v>
      </c>
      <c r="D2" s="225"/>
      <c r="E2" s="225"/>
    </row>
    <row r="3" spans="1:5" x14ac:dyDescent="0.2">
      <c r="A3" s="51"/>
      <c r="B3" s="52"/>
      <c r="C3" s="474" t="s">
        <v>854</v>
      </c>
    </row>
    <row r="4" spans="1:5" x14ac:dyDescent="0.2">
      <c r="A4" s="51"/>
      <c r="B4" s="52"/>
      <c r="C4" s="56"/>
    </row>
    <row r="5" spans="1:5" s="71" customFormat="1" ht="102.75" customHeight="1" x14ac:dyDescent="0.25">
      <c r="A5" s="69"/>
      <c r="B5" s="606" t="s">
        <v>840</v>
      </c>
      <c r="C5" s="606"/>
    </row>
    <row r="6" spans="1:5" ht="15" x14ac:dyDescent="0.2">
      <c r="A6" s="51"/>
      <c r="B6" s="57"/>
      <c r="C6" s="57"/>
    </row>
    <row r="7" spans="1:5" s="60" customFormat="1" ht="37.5" customHeight="1" x14ac:dyDescent="0.25">
      <c r="A7" s="479" t="s">
        <v>186</v>
      </c>
      <c r="B7" s="479" t="s">
        <v>187</v>
      </c>
      <c r="C7" s="480" t="s">
        <v>188</v>
      </c>
    </row>
    <row r="8" spans="1:5" s="106" customFormat="1" ht="41.25" customHeight="1" x14ac:dyDescent="0.25">
      <c r="A8" s="102">
        <v>1</v>
      </c>
      <c r="B8" s="103" t="s">
        <v>189</v>
      </c>
      <c r="C8" s="104">
        <v>33334</v>
      </c>
    </row>
    <row r="9" spans="1:5" s="106" customFormat="1" ht="41.25" customHeight="1" x14ac:dyDescent="0.25">
      <c r="A9" s="102">
        <v>2</v>
      </c>
      <c r="B9" s="103" t="s">
        <v>190</v>
      </c>
      <c r="C9" s="104">
        <v>33333</v>
      </c>
    </row>
    <row r="10" spans="1:5" s="106" customFormat="1" ht="41.25" customHeight="1" x14ac:dyDescent="0.25">
      <c r="A10" s="102">
        <v>3</v>
      </c>
      <c r="B10" s="103" t="s">
        <v>191</v>
      </c>
      <c r="C10" s="104">
        <v>33334</v>
      </c>
    </row>
    <row r="11" spans="1:5" s="106" customFormat="1" ht="41.25" customHeight="1" x14ac:dyDescent="0.25">
      <c r="A11" s="102">
        <v>4</v>
      </c>
      <c r="B11" s="103" t="s">
        <v>192</v>
      </c>
      <c r="C11" s="104">
        <v>33333</v>
      </c>
    </row>
    <row r="12" spans="1:5" s="106" customFormat="1" ht="41.25" customHeight="1" x14ac:dyDescent="0.25">
      <c r="A12" s="102">
        <v>5</v>
      </c>
      <c r="B12" s="103" t="s">
        <v>193</v>
      </c>
      <c r="C12" s="104">
        <v>33333</v>
      </c>
    </row>
    <row r="13" spans="1:5" s="106" customFormat="1" ht="41.25" customHeight="1" x14ac:dyDescent="0.25">
      <c r="A13" s="102">
        <v>6</v>
      </c>
      <c r="B13" s="103" t="s">
        <v>194</v>
      </c>
      <c r="C13" s="104">
        <v>33333</v>
      </c>
    </row>
    <row r="14" spans="1:5" s="111" customFormat="1" ht="41.25" customHeight="1" x14ac:dyDescent="0.25">
      <c r="A14" s="107"/>
      <c r="B14" s="108" t="s">
        <v>10</v>
      </c>
      <c r="C14" s="109">
        <f>SUM(C8:C13)</f>
        <v>200000</v>
      </c>
    </row>
  </sheetData>
  <mergeCells count="1">
    <mergeCell ref="B5:C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8" sqref="C8"/>
    </sheetView>
  </sheetViews>
  <sheetFormatPr defaultRowHeight="12.75" x14ac:dyDescent="0.2"/>
  <cols>
    <col min="1" max="1" width="4.140625" style="54" customWidth="1"/>
    <col min="2" max="2" width="49.28515625" style="54" customWidth="1"/>
    <col min="3" max="3" width="37.28515625" style="54" customWidth="1"/>
    <col min="4" max="254" width="9.140625" style="54"/>
    <col min="255" max="255" width="4.140625" style="54" customWidth="1"/>
    <col min="256" max="256" width="58.85546875" style="54" customWidth="1"/>
    <col min="257" max="257" width="32.85546875" style="54" customWidth="1"/>
    <col min="258" max="510" width="9.140625" style="54"/>
    <col min="511" max="511" width="4.140625" style="54" customWidth="1"/>
    <col min="512" max="512" width="58.85546875" style="54" customWidth="1"/>
    <col min="513" max="513" width="32.85546875" style="54" customWidth="1"/>
    <col min="514" max="766" width="9.140625" style="54"/>
    <col min="767" max="767" width="4.140625" style="54" customWidth="1"/>
    <col min="768" max="768" width="58.85546875" style="54" customWidth="1"/>
    <col min="769" max="769" width="32.85546875" style="54" customWidth="1"/>
    <col min="770" max="1022" width="9.140625" style="54"/>
    <col min="1023" max="1023" width="4.140625" style="54" customWidth="1"/>
    <col min="1024" max="1024" width="58.85546875" style="54" customWidth="1"/>
    <col min="1025" max="1025" width="32.85546875" style="54" customWidth="1"/>
    <col min="1026" max="1278" width="9.140625" style="54"/>
    <col min="1279" max="1279" width="4.140625" style="54" customWidth="1"/>
    <col min="1280" max="1280" width="58.85546875" style="54" customWidth="1"/>
    <col min="1281" max="1281" width="32.85546875" style="54" customWidth="1"/>
    <col min="1282" max="1534" width="9.140625" style="54"/>
    <col min="1535" max="1535" width="4.140625" style="54" customWidth="1"/>
    <col min="1536" max="1536" width="58.85546875" style="54" customWidth="1"/>
    <col min="1537" max="1537" width="32.85546875" style="54" customWidth="1"/>
    <col min="1538" max="1790" width="9.140625" style="54"/>
    <col min="1791" max="1791" width="4.140625" style="54" customWidth="1"/>
    <col min="1792" max="1792" width="58.85546875" style="54" customWidth="1"/>
    <col min="1793" max="1793" width="32.85546875" style="54" customWidth="1"/>
    <col min="1794" max="2046" width="9.140625" style="54"/>
    <col min="2047" max="2047" width="4.140625" style="54" customWidth="1"/>
    <col min="2048" max="2048" width="58.85546875" style="54" customWidth="1"/>
    <col min="2049" max="2049" width="32.85546875" style="54" customWidth="1"/>
    <col min="2050" max="2302" width="9.140625" style="54"/>
    <col min="2303" max="2303" width="4.140625" style="54" customWidth="1"/>
    <col min="2304" max="2304" width="58.85546875" style="54" customWidth="1"/>
    <col min="2305" max="2305" width="32.85546875" style="54" customWidth="1"/>
    <col min="2306" max="2558" width="9.140625" style="54"/>
    <col min="2559" max="2559" width="4.140625" style="54" customWidth="1"/>
    <col min="2560" max="2560" width="58.85546875" style="54" customWidth="1"/>
    <col min="2561" max="2561" width="32.85546875" style="54" customWidth="1"/>
    <col min="2562" max="2814" width="9.140625" style="54"/>
    <col min="2815" max="2815" width="4.140625" style="54" customWidth="1"/>
    <col min="2816" max="2816" width="58.85546875" style="54" customWidth="1"/>
    <col min="2817" max="2817" width="32.85546875" style="54" customWidth="1"/>
    <col min="2818" max="3070" width="9.140625" style="54"/>
    <col min="3071" max="3071" width="4.140625" style="54" customWidth="1"/>
    <col min="3072" max="3072" width="58.85546875" style="54" customWidth="1"/>
    <col min="3073" max="3073" width="32.85546875" style="54" customWidth="1"/>
    <col min="3074" max="3326" width="9.140625" style="54"/>
    <col min="3327" max="3327" width="4.140625" style="54" customWidth="1"/>
    <col min="3328" max="3328" width="58.85546875" style="54" customWidth="1"/>
    <col min="3329" max="3329" width="32.85546875" style="54" customWidth="1"/>
    <col min="3330" max="3582" width="9.140625" style="54"/>
    <col min="3583" max="3583" width="4.140625" style="54" customWidth="1"/>
    <col min="3584" max="3584" width="58.85546875" style="54" customWidth="1"/>
    <col min="3585" max="3585" width="32.85546875" style="54" customWidth="1"/>
    <col min="3586" max="3838" width="9.140625" style="54"/>
    <col min="3839" max="3839" width="4.140625" style="54" customWidth="1"/>
    <col min="3840" max="3840" width="58.85546875" style="54" customWidth="1"/>
    <col min="3841" max="3841" width="32.85546875" style="54" customWidth="1"/>
    <col min="3842" max="4094" width="9.140625" style="54"/>
    <col min="4095" max="4095" width="4.140625" style="54" customWidth="1"/>
    <col min="4096" max="4096" width="58.85546875" style="54" customWidth="1"/>
    <col min="4097" max="4097" width="32.85546875" style="54" customWidth="1"/>
    <col min="4098" max="4350" width="9.140625" style="54"/>
    <col min="4351" max="4351" width="4.140625" style="54" customWidth="1"/>
    <col min="4352" max="4352" width="58.85546875" style="54" customWidth="1"/>
    <col min="4353" max="4353" width="32.85546875" style="54" customWidth="1"/>
    <col min="4354" max="4606" width="9.140625" style="54"/>
    <col min="4607" max="4607" width="4.140625" style="54" customWidth="1"/>
    <col min="4608" max="4608" width="58.85546875" style="54" customWidth="1"/>
    <col min="4609" max="4609" width="32.85546875" style="54" customWidth="1"/>
    <col min="4610" max="4862" width="9.140625" style="54"/>
    <col min="4863" max="4863" width="4.140625" style="54" customWidth="1"/>
    <col min="4864" max="4864" width="58.85546875" style="54" customWidth="1"/>
    <col min="4865" max="4865" width="32.85546875" style="54" customWidth="1"/>
    <col min="4866" max="5118" width="9.140625" style="54"/>
    <col min="5119" max="5119" width="4.140625" style="54" customWidth="1"/>
    <col min="5120" max="5120" width="58.85546875" style="54" customWidth="1"/>
    <col min="5121" max="5121" width="32.85546875" style="54" customWidth="1"/>
    <col min="5122" max="5374" width="9.140625" style="54"/>
    <col min="5375" max="5375" width="4.140625" style="54" customWidth="1"/>
    <col min="5376" max="5376" width="58.85546875" style="54" customWidth="1"/>
    <col min="5377" max="5377" width="32.85546875" style="54" customWidth="1"/>
    <col min="5378" max="5630" width="9.140625" style="54"/>
    <col min="5631" max="5631" width="4.140625" style="54" customWidth="1"/>
    <col min="5632" max="5632" width="58.85546875" style="54" customWidth="1"/>
    <col min="5633" max="5633" width="32.85546875" style="54" customWidth="1"/>
    <col min="5634" max="5886" width="9.140625" style="54"/>
    <col min="5887" max="5887" width="4.140625" style="54" customWidth="1"/>
    <col min="5888" max="5888" width="58.85546875" style="54" customWidth="1"/>
    <col min="5889" max="5889" width="32.85546875" style="54" customWidth="1"/>
    <col min="5890" max="6142" width="9.140625" style="54"/>
    <col min="6143" max="6143" width="4.140625" style="54" customWidth="1"/>
    <col min="6144" max="6144" width="58.85546875" style="54" customWidth="1"/>
    <col min="6145" max="6145" width="32.85546875" style="54" customWidth="1"/>
    <col min="6146" max="6398" width="9.140625" style="54"/>
    <col min="6399" max="6399" width="4.140625" style="54" customWidth="1"/>
    <col min="6400" max="6400" width="58.85546875" style="54" customWidth="1"/>
    <col min="6401" max="6401" width="32.85546875" style="54" customWidth="1"/>
    <col min="6402" max="6654" width="9.140625" style="54"/>
    <col min="6655" max="6655" width="4.140625" style="54" customWidth="1"/>
    <col min="6656" max="6656" width="58.85546875" style="54" customWidth="1"/>
    <col min="6657" max="6657" width="32.85546875" style="54" customWidth="1"/>
    <col min="6658" max="6910" width="9.140625" style="54"/>
    <col min="6911" max="6911" width="4.140625" style="54" customWidth="1"/>
    <col min="6912" max="6912" width="58.85546875" style="54" customWidth="1"/>
    <col min="6913" max="6913" width="32.85546875" style="54" customWidth="1"/>
    <col min="6914" max="7166" width="9.140625" style="54"/>
    <col min="7167" max="7167" width="4.140625" style="54" customWidth="1"/>
    <col min="7168" max="7168" width="58.85546875" style="54" customWidth="1"/>
    <col min="7169" max="7169" width="32.85546875" style="54" customWidth="1"/>
    <col min="7170" max="7422" width="9.140625" style="54"/>
    <col min="7423" max="7423" width="4.140625" style="54" customWidth="1"/>
    <col min="7424" max="7424" width="58.85546875" style="54" customWidth="1"/>
    <col min="7425" max="7425" width="32.85546875" style="54" customWidth="1"/>
    <col min="7426" max="7678" width="9.140625" style="54"/>
    <col min="7679" max="7679" width="4.140625" style="54" customWidth="1"/>
    <col min="7680" max="7680" width="58.85546875" style="54" customWidth="1"/>
    <col min="7681" max="7681" width="32.85546875" style="54" customWidth="1"/>
    <col min="7682" max="7934" width="9.140625" style="54"/>
    <col min="7935" max="7935" width="4.140625" style="54" customWidth="1"/>
    <col min="7936" max="7936" width="58.85546875" style="54" customWidth="1"/>
    <col min="7937" max="7937" width="32.85546875" style="54" customWidth="1"/>
    <col min="7938" max="8190" width="9.140625" style="54"/>
    <col min="8191" max="8191" width="4.140625" style="54" customWidth="1"/>
    <col min="8192" max="8192" width="58.85546875" style="54" customWidth="1"/>
    <col min="8193" max="8193" width="32.85546875" style="54" customWidth="1"/>
    <col min="8194" max="8446" width="9.140625" style="54"/>
    <col min="8447" max="8447" width="4.140625" style="54" customWidth="1"/>
    <col min="8448" max="8448" width="58.85546875" style="54" customWidth="1"/>
    <col min="8449" max="8449" width="32.85546875" style="54" customWidth="1"/>
    <col min="8450" max="8702" width="9.140625" style="54"/>
    <col min="8703" max="8703" width="4.140625" style="54" customWidth="1"/>
    <col min="8704" max="8704" width="58.85546875" style="54" customWidth="1"/>
    <col min="8705" max="8705" width="32.85546875" style="54" customWidth="1"/>
    <col min="8706" max="8958" width="9.140625" style="54"/>
    <col min="8959" max="8959" width="4.140625" style="54" customWidth="1"/>
    <col min="8960" max="8960" width="58.85546875" style="54" customWidth="1"/>
    <col min="8961" max="8961" width="32.85546875" style="54" customWidth="1"/>
    <col min="8962" max="9214" width="9.140625" style="54"/>
    <col min="9215" max="9215" width="4.140625" style="54" customWidth="1"/>
    <col min="9216" max="9216" width="58.85546875" style="54" customWidth="1"/>
    <col min="9217" max="9217" width="32.85546875" style="54" customWidth="1"/>
    <col min="9218" max="9470" width="9.140625" style="54"/>
    <col min="9471" max="9471" width="4.140625" style="54" customWidth="1"/>
    <col min="9472" max="9472" width="58.85546875" style="54" customWidth="1"/>
    <col min="9473" max="9473" width="32.85546875" style="54" customWidth="1"/>
    <col min="9474" max="9726" width="9.140625" style="54"/>
    <col min="9727" max="9727" width="4.140625" style="54" customWidth="1"/>
    <col min="9728" max="9728" width="58.85546875" style="54" customWidth="1"/>
    <col min="9729" max="9729" width="32.85546875" style="54" customWidth="1"/>
    <col min="9730" max="9982" width="9.140625" style="54"/>
    <col min="9983" max="9983" width="4.140625" style="54" customWidth="1"/>
    <col min="9984" max="9984" width="58.85546875" style="54" customWidth="1"/>
    <col min="9985" max="9985" width="32.85546875" style="54" customWidth="1"/>
    <col min="9986" max="10238" width="9.140625" style="54"/>
    <col min="10239" max="10239" width="4.140625" style="54" customWidth="1"/>
    <col min="10240" max="10240" width="58.85546875" style="54" customWidth="1"/>
    <col min="10241" max="10241" width="32.85546875" style="54" customWidth="1"/>
    <col min="10242" max="10494" width="9.140625" style="54"/>
    <col min="10495" max="10495" width="4.140625" style="54" customWidth="1"/>
    <col min="10496" max="10496" width="58.85546875" style="54" customWidth="1"/>
    <col min="10497" max="10497" width="32.85546875" style="54" customWidth="1"/>
    <col min="10498" max="10750" width="9.140625" style="54"/>
    <col min="10751" max="10751" width="4.140625" style="54" customWidth="1"/>
    <col min="10752" max="10752" width="58.85546875" style="54" customWidth="1"/>
    <col min="10753" max="10753" width="32.85546875" style="54" customWidth="1"/>
    <col min="10754" max="11006" width="9.140625" style="54"/>
    <col min="11007" max="11007" width="4.140625" style="54" customWidth="1"/>
    <col min="11008" max="11008" width="58.85546875" style="54" customWidth="1"/>
    <col min="11009" max="11009" width="32.85546875" style="54" customWidth="1"/>
    <col min="11010" max="11262" width="9.140625" style="54"/>
    <col min="11263" max="11263" width="4.140625" style="54" customWidth="1"/>
    <col min="11264" max="11264" width="58.85546875" style="54" customWidth="1"/>
    <col min="11265" max="11265" width="32.85546875" style="54" customWidth="1"/>
    <col min="11266" max="11518" width="9.140625" style="54"/>
    <col min="11519" max="11519" width="4.140625" style="54" customWidth="1"/>
    <col min="11520" max="11520" width="58.85546875" style="54" customWidth="1"/>
    <col min="11521" max="11521" width="32.85546875" style="54" customWidth="1"/>
    <col min="11522" max="11774" width="9.140625" style="54"/>
    <col min="11775" max="11775" width="4.140625" style="54" customWidth="1"/>
    <col min="11776" max="11776" width="58.85546875" style="54" customWidth="1"/>
    <col min="11777" max="11777" width="32.85546875" style="54" customWidth="1"/>
    <col min="11778" max="12030" width="9.140625" style="54"/>
    <col min="12031" max="12031" width="4.140625" style="54" customWidth="1"/>
    <col min="12032" max="12032" width="58.85546875" style="54" customWidth="1"/>
    <col min="12033" max="12033" width="32.85546875" style="54" customWidth="1"/>
    <col min="12034" max="12286" width="9.140625" style="54"/>
    <col min="12287" max="12287" width="4.140625" style="54" customWidth="1"/>
    <col min="12288" max="12288" width="58.85546875" style="54" customWidth="1"/>
    <col min="12289" max="12289" width="32.85546875" style="54" customWidth="1"/>
    <col min="12290" max="12542" width="9.140625" style="54"/>
    <col min="12543" max="12543" width="4.140625" style="54" customWidth="1"/>
    <col min="12544" max="12544" width="58.85546875" style="54" customWidth="1"/>
    <col min="12545" max="12545" width="32.85546875" style="54" customWidth="1"/>
    <col min="12546" max="12798" width="9.140625" style="54"/>
    <col min="12799" max="12799" width="4.140625" style="54" customWidth="1"/>
    <col min="12800" max="12800" width="58.85546875" style="54" customWidth="1"/>
    <col min="12801" max="12801" width="32.85546875" style="54" customWidth="1"/>
    <col min="12802" max="13054" width="9.140625" style="54"/>
    <col min="13055" max="13055" width="4.140625" style="54" customWidth="1"/>
    <col min="13056" max="13056" width="58.85546875" style="54" customWidth="1"/>
    <col min="13057" max="13057" width="32.85546875" style="54" customWidth="1"/>
    <col min="13058" max="13310" width="9.140625" style="54"/>
    <col min="13311" max="13311" width="4.140625" style="54" customWidth="1"/>
    <col min="13312" max="13312" width="58.85546875" style="54" customWidth="1"/>
    <col min="13313" max="13313" width="32.85546875" style="54" customWidth="1"/>
    <col min="13314" max="13566" width="9.140625" style="54"/>
    <col min="13567" max="13567" width="4.140625" style="54" customWidth="1"/>
    <col min="13568" max="13568" width="58.85546875" style="54" customWidth="1"/>
    <col min="13569" max="13569" width="32.85546875" style="54" customWidth="1"/>
    <col min="13570" max="13822" width="9.140625" style="54"/>
    <col min="13823" max="13823" width="4.140625" style="54" customWidth="1"/>
    <col min="13824" max="13824" width="58.85546875" style="54" customWidth="1"/>
    <col min="13825" max="13825" width="32.85546875" style="54" customWidth="1"/>
    <col min="13826" max="14078" width="9.140625" style="54"/>
    <col min="14079" max="14079" width="4.140625" style="54" customWidth="1"/>
    <col min="14080" max="14080" width="58.85546875" style="54" customWidth="1"/>
    <col min="14081" max="14081" width="32.85546875" style="54" customWidth="1"/>
    <col min="14082" max="14334" width="9.140625" style="54"/>
    <col min="14335" max="14335" width="4.140625" style="54" customWidth="1"/>
    <col min="14336" max="14336" width="58.85546875" style="54" customWidth="1"/>
    <col min="14337" max="14337" width="32.85546875" style="54" customWidth="1"/>
    <col min="14338" max="14590" width="9.140625" style="54"/>
    <col min="14591" max="14591" width="4.140625" style="54" customWidth="1"/>
    <col min="14592" max="14592" width="58.85546875" style="54" customWidth="1"/>
    <col min="14593" max="14593" width="32.85546875" style="54" customWidth="1"/>
    <col min="14594" max="14846" width="9.140625" style="54"/>
    <col min="14847" max="14847" width="4.140625" style="54" customWidth="1"/>
    <col min="14848" max="14848" width="58.85546875" style="54" customWidth="1"/>
    <col min="14849" max="14849" width="32.85546875" style="54" customWidth="1"/>
    <col min="14850" max="15102" width="9.140625" style="54"/>
    <col min="15103" max="15103" width="4.140625" style="54" customWidth="1"/>
    <col min="15104" max="15104" width="58.85546875" style="54" customWidth="1"/>
    <col min="15105" max="15105" width="32.85546875" style="54" customWidth="1"/>
    <col min="15106" max="15358" width="9.140625" style="54"/>
    <col min="15359" max="15359" width="4.140625" style="54" customWidth="1"/>
    <col min="15360" max="15360" width="58.85546875" style="54" customWidth="1"/>
    <col min="15361" max="15361" width="32.85546875" style="54" customWidth="1"/>
    <col min="15362" max="15614" width="9.140625" style="54"/>
    <col min="15615" max="15615" width="4.140625" style="54" customWidth="1"/>
    <col min="15616" max="15616" width="58.85546875" style="54" customWidth="1"/>
    <col min="15617" max="15617" width="32.85546875" style="54" customWidth="1"/>
    <col min="15618" max="15870" width="9.140625" style="54"/>
    <col min="15871" max="15871" width="4.140625" style="54" customWidth="1"/>
    <col min="15872" max="15872" width="58.85546875" style="54" customWidth="1"/>
    <col min="15873" max="15873" width="32.85546875" style="54" customWidth="1"/>
    <col min="15874" max="16126" width="9.140625" style="54"/>
    <col min="16127" max="16127" width="4.140625" style="54" customWidth="1"/>
    <col min="16128" max="16128" width="58.85546875" style="54" customWidth="1"/>
    <col min="16129" max="16129" width="32.85546875" style="54" customWidth="1"/>
    <col min="16130" max="16384" width="9.140625" style="54"/>
  </cols>
  <sheetData>
    <row r="1" spans="1:5" x14ac:dyDescent="0.2">
      <c r="C1" s="511" t="s">
        <v>851</v>
      </c>
      <c r="D1" s="511"/>
      <c r="E1" s="511"/>
    </row>
    <row r="2" spans="1:5" ht="67.5" x14ac:dyDescent="0.2">
      <c r="C2" s="225" t="s">
        <v>792</v>
      </c>
      <c r="D2" s="225"/>
      <c r="E2" s="225"/>
    </row>
    <row r="3" spans="1:5" x14ac:dyDescent="0.2">
      <c r="A3" s="51"/>
      <c r="B3" s="52"/>
      <c r="C3" s="514" t="s">
        <v>718</v>
      </c>
    </row>
    <row r="4" spans="1:5" ht="56.25" x14ac:dyDescent="0.2">
      <c r="A4" s="51"/>
      <c r="B4" s="52"/>
      <c r="C4" s="509" t="s">
        <v>593</v>
      </c>
      <c r="D4" s="225"/>
      <c r="E4" s="225"/>
    </row>
    <row r="5" spans="1:5" x14ac:dyDescent="0.2">
      <c r="A5" s="51"/>
      <c r="B5" s="52"/>
      <c r="C5" s="509" t="s">
        <v>857</v>
      </c>
    </row>
    <row r="6" spans="1:5" x14ac:dyDescent="0.2">
      <c r="A6" s="51"/>
      <c r="B6" s="52"/>
      <c r="C6" s="56"/>
    </row>
    <row r="7" spans="1:5" s="71" customFormat="1" ht="101.25" customHeight="1" x14ac:dyDescent="0.25">
      <c r="A7" s="69"/>
      <c r="B7" s="617" t="s">
        <v>858</v>
      </c>
      <c r="C7" s="617"/>
    </row>
    <row r="8" spans="1:5" x14ac:dyDescent="0.2">
      <c r="A8" s="51"/>
      <c r="B8" s="618"/>
      <c r="C8" s="618"/>
    </row>
    <row r="9" spans="1:5" s="60" customFormat="1" ht="25.5" x14ac:dyDescent="0.25">
      <c r="A9" s="512" t="s">
        <v>186</v>
      </c>
      <c r="B9" s="512" t="s">
        <v>187</v>
      </c>
      <c r="C9" s="513" t="s">
        <v>188</v>
      </c>
    </row>
    <row r="10" spans="1:5" s="106" customFormat="1" hidden="1" x14ac:dyDescent="0.25">
      <c r="B10" s="620" t="s">
        <v>189</v>
      </c>
      <c r="C10" s="621"/>
    </row>
    <row r="11" spans="1:5" s="106" customFormat="1" ht="23.25" customHeight="1" x14ac:dyDescent="0.25">
      <c r="A11" s="619">
        <v>1</v>
      </c>
      <c r="B11" s="620" t="s">
        <v>190</v>
      </c>
      <c r="C11" s="621">
        <v>300</v>
      </c>
    </row>
    <row r="12" spans="1:5" s="106" customFormat="1" ht="23.25" customHeight="1" x14ac:dyDescent="0.25">
      <c r="A12" s="619">
        <v>2</v>
      </c>
      <c r="B12" s="620" t="s">
        <v>191</v>
      </c>
      <c r="C12" s="621">
        <v>62908</v>
      </c>
    </row>
    <row r="13" spans="1:5" s="106" customFormat="1" ht="23.25" customHeight="1" x14ac:dyDescent="0.25">
      <c r="A13" s="619">
        <v>3</v>
      </c>
      <c r="B13" s="620" t="s">
        <v>192</v>
      </c>
      <c r="C13" s="621">
        <v>4296</v>
      </c>
    </row>
    <row r="14" spans="1:5" s="106" customFormat="1" ht="23.25" customHeight="1" x14ac:dyDescent="0.25">
      <c r="A14" s="619">
        <v>4</v>
      </c>
      <c r="B14" s="620" t="s">
        <v>193</v>
      </c>
      <c r="C14" s="621">
        <v>300</v>
      </c>
    </row>
    <row r="15" spans="1:5" s="106" customFormat="1" ht="23.25" customHeight="1" x14ac:dyDescent="0.25">
      <c r="A15" s="619">
        <v>5</v>
      </c>
      <c r="B15" s="620" t="s">
        <v>194</v>
      </c>
      <c r="C15" s="621">
        <v>300</v>
      </c>
    </row>
    <row r="16" spans="1:5" s="635" customFormat="1" ht="23.25" customHeight="1" x14ac:dyDescent="0.25">
      <c r="A16" s="622"/>
      <c r="B16" s="623" t="s">
        <v>10</v>
      </c>
      <c r="C16" s="624">
        <f>SUM(C10:C15)</f>
        <v>68104</v>
      </c>
    </row>
  </sheetData>
  <mergeCells count="1">
    <mergeCell ref="B7:C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22" sqref="A21:A22"/>
    </sheetView>
  </sheetViews>
  <sheetFormatPr defaultRowHeight="12.75" x14ac:dyDescent="0.2"/>
  <cols>
    <col min="1" max="1" width="4.140625" style="54" customWidth="1"/>
    <col min="2" max="2" width="49.28515625" style="54" customWidth="1"/>
    <col min="3" max="3" width="37.28515625" style="54" customWidth="1"/>
    <col min="4" max="254" width="9.140625" style="54"/>
    <col min="255" max="255" width="4.140625" style="54" customWidth="1"/>
    <col min="256" max="256" width="58.85546875" style="54" customWidth="1"/>
    <col min="257" max="257" width="32.85546875" style="54" customWidth="1"/>
    <col min="258" max="510" width="9.140625" style="54"/>
    <col min="511" max="511" width="4.140625" style="54" customWidth="1"/>
    <col min="512" max="512" width="58.85546875" style="54" customWidth="1"/>
    <col min="513" max="513" width="32.85546875" style="54" customWidth="1"/>
    <col min="514" max="766" width="9.140625" style="54"/>
    <col min="767" max="767" width="4.140625" style="54" customWidth="1"/>
    <col min="768" max="768" width="58.85546875" style="54" customWidth="1"/>
    <col min="769" max="769" width="32.85546875" style="54" customWidth="1"/>
    <col min="770" max="1022" width="9.140625" style="54"/>
    <col min="1023" max="1023" width="4.140625" style="54" customWidth="1"/>
    <col min="1024" max="1024" width="58.85546875" style="54" customWidth="1"/>
    <col min="1025" max="1025" width="32.85546875" style="54" customWidth="1"/>
    <col min="1026" max="1278" width="9.140625" style="54"/>
    <col min="1279" max="1279" width="4.140625" style="54" customWidth="1"/>
    <col min="1280" max="1280" width="58.85546875" style="54" customWidth="1"/>
    <col min="1281" max="1281" width="32.85546875" style="54" customWidth="1"/>
    <col min="1282" max="1534" width="9.140625" style="54"/>
    <col min="1535" max="1535" width="4.140625" style="54" customWidth="1"/>
    <col min="1536" max="1536" width="58.85546875" style="54" customWidth="1"/>
    <col min="1537" max="1537" width="32.85546875" style="54" customWidth="1"/>
    <col min="1538" max="1790" width="9.140625" style="54"/>
    <col min="1791" max="1791" width="4.140625" style="54" customWidth="1"/>
    <col min="1792" max="1792" width="58.85546875" style="54" customWidth="1"/>
    <col min="1793" max="1793" width="32.85546875" style="54" customWidth="1"/>
    <col min="1794" max="2046" width="9.140625" style="54"/>
    <col min="2047" max="2047" width="4.140625" style="54" customWidth="1"/>
    <col min="2048" max="2048" width="58.85546875" style="54" customWidth="1"/>
    <col min="2049" max="2049" width="32.85546875" style="54" customWidth="1"/>
    <col min="2050" max="2302" width="9.140625" style="54"/>
    <col min="2303" max="2303" width="4.140625" style="54" customWidth="1"/>
    <col min="2304" max="2304" width="58.85546875" style="54" customWidth="1"/>
    <col min="2305" max="2305" width="32.85546875" style="54" customWidth="1"/>
    <col min="2306" max="2558" width="9.140625" style="54"/>
    <col min="2559" max="2559" width="4.140625" style="54" customWidth="1"/>
    <col min="2560" max="2560" width="58.85546875" style="54" customWidth="1"/>
    <col min="2561" max="2561" width="32.85546875" style="54" customWidth="1"/>
    <col min="2562" max="2814" width="9.140625" style="54"/>
    <col min="2815" max="2815" width="4.140625" style="54" customWidth="1"/>
    <col min="2816" max="2816" width="58.85546875" style="54" customWidth="1"/>
    <col min="2817" max="2817" width="32.85546875" style="54" customWidth="1"/>
    <col min="2818" max="3070" width="9.140625" style="54"/>
    <col min="3071" max="3071" width="4.140625" style="54" customWidth="1"/>
    <col min="3072" max="3072" width="58.85546875" style="54" customWidth="1"/>
    <col min="3073" max="3073" width="32.85546875" style="54" customWidth="1"/>
    <col min="3074" max="3326" width="9.140625" style="54"/>
    <col min="3327" max="3327" width="4.140625" style="54" customWidth="1"/>
    <col min="3328" max="3328" width="58.85546875" style="54" customWidth="1"/>
    <col min="3329" max="3329" width="32.85546875" style="54" customWidth="1"/>
    <col min="3330" max="3582" width="9.140625" style="54"/>
    <col min="3583" max="3583" width="4.140625" style="54" customWidth="1"/>
    <col min="3584" max="3584" width="58.85546875" style="54" customWidth="1"/>
    <col min="3585" max="3585" width="32.85546875" style="54" customWidth="1"/>
    <col min="3586" max="3838" width="9.140625" style="54"/>
    <col min="3839" max="3839" width="4.140625" style="54" customWidth="1"/>
    <col min="3840" max="3840" width="58.85546875" style="54" customWidth="1"/>
    <col min="3841" max="3841" width="32.85546875" style="54" customWidth="1"/>
    <col min="3842" max="4094" width="9.140625" style="54"/>
    <col min="4095" max="4095" width="4.140625" style="54" customWidth="1"/>
    <col min="4096" max="4096" width="58.85546875" style="54" customWidth="1"/>
    <col min="4097" max="4097" width="32.85546875" style="54" customWidth="1"/>
    <col min="4098" max="4350" width="9.140625" style="54"/>
    <col min="4351" max="4351" width="4.140625" style="54" customWidth="1"/>
    <col min="4352" max="4352" width="58.85546875" style="54" customWidth="1"/>
    <col min="4353" max="4353" width="32.85546875" style="54" customWidth="1"/>
    <col min="4354" max="4606" width="9.140625" style="54"/>
    <col min="4607" max="4607" width="4.140625" style="54" customWidth="1"/>
    <col min="4608" max="4608" width="58.85546875" style="54" customWidth="1"/>
    <col min="4609" max="4609" width="32.85546875" style="54" customWidth="1"/>
    <col min="4610" max="4862" width="9.140625" style="54"/>
    <col min="4863" max="4863" width="4.140625" style="54" customWidth="1"/>
    <col min="4864" max="4864" width="58.85546875" style="54" customWidth="1"/>
    <col min="4865" max="4865" width="32.85546875" style="54" customWidth="1"/>
    <col min="4866" max="5118" width="9.140625" style="54"/>
    <col min="5119" max="5119" width="4.140625" style="54" customWidth="1"/>
    <col min="5120" max="5120" width="58.85546875" style="54" customWidth="1"/>
    <col min="5121" max="5121" width="32.85546875" style="54" customWidth="1"/>
    <col min="5122" max="5374" width="9.140625" style="54"/>
    <col min="5375" max="5375" width="4.140625" style="54" customWidth="1"/>
    <col min="5376" max="5376" width="58.85546875" style="54" customWidth="1"/>
    <col min="5377" max="5377" width="32.85546875" style="54" customWidth="1"/>
    <col min="5378" max="5630" width="9.140625" style="54"/>
    <col min="5631" max="5631" width="4.140625" style="54" customWidth="1"/>
    <col min="5632" max="5632" width="58.85546875" style="54" customWidth="1"/>
    <col min="5633" max="5633" width="32.85546875" style="54" customWidth="1"/>
    <col min="5634" max="5886" width="9.140625" style="54"/>
    <col min="5887" max="5887" width="4.140625" style="54" customWidth="1"/>
    <col min="5888" max="5888" width="58.85546875" style="54" customWidth="1"/>
    <col min="5889" max="5889" width="32.85546875" style="54" customWidth="1"/>
    <col min="5890" max="6142" width="9.140625" style="54"/>
    <col min="6143" max="6143" width="4.140625" style="54" customWidth="1"/>
    <col min="6144" max="6144" width="58.85546875" style="54" customWidth="1"/>
    <col min="6145" max="6145" width="32.85546875" style="54" customWidth="1"/>
    <col min="6146" max="6398" width="9.140625" style="54"/>
    <col min="6399" max="6399" width="4.140625" style="54" customWidth="1"/>
    <col min="6400" max="6400" width="58.85546875" style="54" customWidth="1"/>
    <col min="6401" max="6401" width="32.85546875" style="54" customWidth="1"/>
    <col min="6402" max="6654" width="9.140625" style="54"/>
    <col min="6655" max="6655" width="4.140625" style="54" customWidth="1"/>
    <col min="6656" max="6656" width="58.85546875" style="54" customWidth="1"/>
    <col min="6657" max="6657" width="32.85546875" style="54" customWidth="1"/>
    <col min="6658" max="6910" width="9.140625" style="54"/>
    <col min="6911" max="6911" width="4.140625" style="54" customWidth="1"/>
    <col min="6912" max="6912" width="58.85546875" style="54" customWidth="1"/>
    <col min="6913" max="6913" width="32.85546875" style="54" customWidth="1"/>
    <col min="6914" max="7166" width="9.140625" style="54"/>
    <col min="7167" max="7167" width="4.140625" style="54" customWidth="1"/>
    <col min="7168" max="7168" width="58.85546875" style="54" customWidth="1"/>
    <col min="7169" max="7169" width="32.85546875" style="54" customWidth="1"/>
    <col min="7170" max="7422" width="9.140625" style="54"/>
    <col min="7423" max="7423" width="4.140625" style="54" customWidth="1"/>
    <col min="7424" max="7424" width="58.85546875" style="54" customWidth="1"/>
    <col min="7425" max="7425" width="32.85546875" style="54" customWidth="1"/>
    <col min="7426" max="7678" width="9.140625" style="54"/>
    <col min="7679" max="7679" width="4.140625" style="54" customWidth="1"/>
    <col min="7680" max="7680" width="58.85546875" style="54" customWidth="1"/>
    <col min="7681" max="7681" width="32.85546875" style="54" customWidth="1"/>
    <col min="7682" max="7934" width="9.140625" style="54"/>
    <col min="7935" max="7935" width="4.140625" style="54" customWidth="1"/>
    <col min="7936" max="7936" width="58.85546875" style="54" customWidth="1"/>
    <col min="7937" max="7937" width="32.85546875" style="54" customWidth="1"/>
    <col min="7938" max="8190" width="9.140625" style="54"/>
    <col min="8191" max="8191" width="4.140625" style="54" customWidth="1"/>
    <col min="8192" max="8192" width="58.85546875" style="54" customWidth="1"/>
    <col min="8193" max="8193" width="32.85546875" style="54" customWidth="1"/>
    <col min="8194" max="8446" width="9.140625" style="54"/>
    <col min="8447" max="8447" width="4.140625" style="54" customWidth="1"/>
    <col min="8448" max="8448" width="58.85546875" style="54" customWidth="1"/>
    <col min="8449" max="8449" width="32.85546875" style="54" customWidth="1"/>
    <col min="8450" max="8702" width="9.140625" style="54"/>
    <col min="8703" max="8703" width="4.140625" style="54" customWidth="1"/>
    <col min="8704" max="8704" width="58.85546875" style="54" customWidth="1"/>
    <col min="8705" max="8705" width="32.85546875" style="54" customWidth="1"/>
    <col min="8706" max="8958" width="9.140625" style="54"/>
    <col min="8959" max="8959" width="4.140625" style="54" customWidth="1"/>
    <col min="8960" max="8960" width="58.85546875" style="54" customWidth="1"/>
    <col min="8961" max="8961" width="32.85546875" style="54" customWidth="1"/>
    <col min="8962" max="9214" width="9.140625" style="54"/>
    <col min="9215" max="9215" width="4.140625" style="54" customWidth="1"/>
    <col min="9216" max="9216" width="58.85546875" style="54" customWidth="1"/>
    <col min="9217" max="9217" width="32.85546875" style="54" customWidth="1"/>
    <col min="9218" max="9470" width="9.140625" style="54"/>
    <col min="9471" max="9471" width="4.140625" style="54" customWidth="1"/>
    <col min="9472" max="9472" width="58.85546875" style="54" customWidth="1"/>
    <col min="9473" max="9473" width="32.85546875" style="54" customWidth="1"/>
    <col min="9474" max="9726" width="9.140625" style="54"/>
    <col min="9727" max="9727" width="4.140625" style="54" customWidth="1"/>
    <col min="9728" max="9728" width="58.85546875" style="54" customWidth="1"/>
    <col min="9729" max="9729" width="32.85546875" style="54" customWidth="1"/>
    <col min="9730" max="9982" width="9.140625" style="54"/>
    <col min="9983" max="9983" width="4.140625" style="54" customWidth="1"/>
    <col min="9984" max="9984" width="58.85546875" style="54" customWidth="1"/>
    <col min="9985" max="9985" width="32.85546875" style="54" customWidth="1"/>
    <col min="9986" max="10238" width="9.140625" style="54"/>
    <col min="10239" max="10239" width="4.140625" style="54" customWidth="1"/>
    <col min="10240" max="10240" width="58.85546875" style="54" customWidth="1"/>
    <col min="10241" max="10241" width="32.85546875" style="54" customWidth="1"/>
    <col min="10242" max="10494" width="9.140625" style="54"/>
    <col min="10495" max="10495" width="4.140625" style="54" customWidth="1"/>
    <col min="10496" max="10496" width="58.85546875" style="54" customWidth="1"/>
    <col min="10497" max="10497" width="32.85546875" style="54" customWidth="1"/>
    <col min="10498" max="10750" width="9.140625" style="54"/>
    <col min="10751" max="10751" width="4.140625" style="54" customWidth="1"/>
    <col min="10752" max="10752" width="58.85546875" style="54" customWidth="1"/>
    <col min="10753" max="10753" width="32.85546875" style="54" customWidth="1"/>
    <col min="10754" max="11006" width="9.140625" style="54"/>
    <col min="11007" max="11007" width="4.140625" style="54" customWidth="1"/>
    <col min="11008" max="11008" width="58.85546875" style="54" customWidth="1"/>
    <col min="11009" max="11009" width="32.85546875" style="54" customWidth="1"/>
    <col min="11010" max="11262" width="9.140625" style="54"/>
    <col min="11263" max="11263" width="4.140625" style="54" customWidth="1"/>
    <col min="11264" max="11264" width="58.85546875" style="54" customWidth="1"/>
    <col min="11265" max="11265" width="32.85546875" style="54" customWidth="1"/>
    <col min="11266" max="11518" width="9.140625" style="54"/>
    <col min="11519" max="11519" width="4.140625" style="54" customWidth="1"/>
    <col min="11520" max="11520" width="58.85546875" style="54" customWidth="1"/>
    <col min="11521" max="11521" width="32.85546875" style="54" customWidth="1"/>
    <col min="11522" max="11774" width="9.140625" style="54"/>
    <col min="11775" max="11775" width="4.140625" style="54" customWidth="1"/>
    <col min="11776" max="11776" width="58.85546875" style="54" customWidth="1"/>
    <col min="11777" max="11777" width="32.85546875" style="54" customWidth="1"/>
    <col min="11778" max="12030" width="9.140625" style="54"/>
    <col min="12031" max="12031" width="4.140625" style="54" customWidth="1"/>
    <col min="12032" max="12032" width="58.85546875" style="54" customWidth="1"/>
    <col min="12033" max="12033" width="32.85546875" style="54" customWidth="1"/>
    <col min="12034" max="12286" width="9.140625" style="54"/>
    <col min="12287" max="12287" width="4.140625" style="54" customWidth="1"/>
    <col min="12288" max="12288" width="58.85546875" style="54" customWidth="1"/>
    <col min="12289" max="12289" width="32.85546875" style="54" customWidth="1"/>
    <col min="12290" max="12542" width="9.140625" style="54"/>
    <col min="12543" max="12543" width="4.140625" style="54" customWidth="1"/>
    <col min="12544" max="12544" width="58.85546875" style="54" customWidth="1"/>
    <col min="12545" max="12545" width="32.85546875" style="54" customWidth="1"/>
    <col min="12546" max="12798" width="9.140625" style="54"/>
    <col min="12799" max="12799" width="4.140625" style="54" customWidth="1"/>
    <col min="12800" max="12800" width="58.85546875" style="54" customWidth="1"/>
    <col min="12801" max="12801" width="32.85546875" style="54" customWidth="1"/>
    <col min="12802" max="13054" width="9.140625" style="54"/>
    <col min="13055" max="13055" width="4.140625" style="54" customWidth="1"/>
    <col min="13056" max="13056" width="58.85546875" style="54" customWidth="1"/>
    <col min="13057" max="13057" width="32.85546875" style="54" customWidth="1"/>
    <col min="13058" max="13310" width="9.140625" style="54"/>
    <col min="13311" max="13311" width="4.140625" style="54" customWidth="1"/>
    <col min="13312" max="13312" width="58.85546875" style="54" customWidth="1"/>
    <col min="13313" max="13313" width="32.85546875" style="54" customWidth="1"/>
    <col min="13314" max="13566" width="9.140625" style="54"/>
    <col min="13567" max="13567" width="4.140625" style="54" customWidth="1"/>
    <col min="13568" max="13568" width="58.85546875" style="54" customWidth="1"/>
    <col min="13569" max="13569" width="32.85546875" style="54" customWidth="1"/>
    <col min="13570" max="13822" width="9.140625" style="54"/>
    <col min="13823" max="13823" width="4.140625" style="54" customWidth="1"/>
    <col min="13824" max="13824" width="58.85546875" style="54" customWidth="1"/>
    <col min="13825" max="13825" width="32.85546875" style="54" customWidth="1"/>
    <col min="13826" max="14078" width="9.140625" style="54"/>
    <col min="14079" max="14079" width="4.140625" style="54" customWidth="1"/>
    <col min="14080" max="14080" width="58.85546875" style="54" customWidth="1"/>
    <col min="14081" max="14081" width="32.85546875" style="54" customWidth="1"/>
    <col min="14082" max="14334" width="9.140625" style="54"/>
    <col min="14335" max="14335" width="4.140625" style="54" customWidth="1"/>
    <col min="14336" max="14336" width="58.85546875" style="54" customWidth="1"/>
    <col min="14337" max="14337" width="32.85546875" style="54" customWidth="1"/>
    <col min="14338" max="14590" width="9.140625" style="54"/>
    <col min="14591" max="14591" width="4.140625" style="54" customWidth="1"/>
    <col min="14592" max="14592" width="58.85546875" style="54" customWidth="1"/>
    <col min="14593" max="14593" width="32.85546875" style="54" customWidth="1"/>
    <col min="14594" max="14846" width="9.140625" style="54"/>
    <col min="14847" max="14847" width="4.140625" style="54" customWidth="1"/>
    <col min="14848" max="14848" width="58.85546875" style="54" customWidth="1"/>
    <col min="14849" max="14849" width="32.85546875" style="54" customWidth="1"/>
    <col min="14850" max="15102" width="9.140625" style="54"/>
    <col min="15103" max="15103" width="4.140625" style="54" customWidth="1"/>
    <col min="15104" max="15104" width="58.85546875" style="54" customWidth="1"/>
    <col min="15105" max="15105" width="32.85546875" style="54" customWidth="1"/>
    <col min="15106" max="15358" width="9.140625" style="54"/>
    <col min="15359" max="15359" width="4.140625" style="54" customWidth="1"/>
    <col min="15360" max="15360" width="58.85546875" style="54" customWidth="1"/>
    <col min="15361" max="15361" width="32.85546875" style="54" customWidth="1"/>
    <col min="15362" max="15614" width="9.140625" style="54"/>
    <col min="15615" max="15615" width="4.140625" style="54" customWidth="1"/>
    <col min="15616" max="15616" width="58.85546875" style="54" customWidth="1"/>
    <col min="15617" max="15617" width="32.85546875" style="54" customWidth="1"/>
    <col min="15618" max="15870" width="9.140625" style="54"/>
    <col min="15871" max="15871" width="4.140625" style="54" customWidth="1"/>
    <col min="15872" max="15872" width="58.85546875" style="54" customWidth="1"/>
    <col min="15873" max="15873" width="32.85546875" style="54" customWidth="1"/>
    <col min="15874" max="16126" width="9.140625" style="54"/>
    <col min="16127" max="16127" width="4.140625" style="54" customWidth="1"/>
    <col min="16128" max="16128" width="58.85546875" style="54" customWidth="1"/>
    <col min="16129" max="16129" width="32.85546875" style="54" customWidth="1"/>
    <col min="16130" max="16384" width="9.140625" style="54"/>
  </cols>
  <sheetData>
    <row r="1" spans="1:5" x14ac:dyDescent="0.2">
      <c r="C1" s="511" t="s">
        <v>715</v>
      </c>
      <c r="D1" s="511"/>
      <c r="E1" s="511"/>
    </row>
    <row r="2" spans="1:5" ht="67.5" x14ac:dyDescent="0.2">
      <c r="C2" s="225" t="s">
        <v>792</v>
      </c>
      <c r="D2" s="225"/>
      <c r="E2" s="225"/>
    </row>
    <row r="3" spans="1:5" x14ac:dyDescent="0.2">
      <c r="A3" s="51"/>
      <c r="B3" s="52"/>
      <c r="C3" s="514" t="s">
        <v>718</v>
      </c>
    </row>
    <row r="4" spans="1:5" ht="56.25" x14ac:dyDescent="0.2">
      <c r="A4" s="51"/>
      <c r="B4" s="52"/>
      <c r="C4" s="509" t="s">
        <v>593</v>
      </c>
      <c r="D4" s="225"/>
      <c r="E4" s="225"/>
    </row>
    <row r="5" spans="1:5" x14ac:dyDescent="0.2">
      <c r="A5" s="51"/>
      <c r="B5" s="52"/>
      <c r="C5" s="509" t="s">
        <v>855</v>
      </c>
    </row>
    <row r="6" spans="1:5" x14ac:dyDescent="0.2">
      <c r="A6" s="51"/>
      <c r="B6" s="52"/>
      <c r="C6" s="56"/>
    </row>
    <row r="7" spans="1:5" s="71" customFormat="1" ht="60.75" customHeight="1" x14ac:dyDescent="0.25">
      <c r="A7" s="69"/>
      <c r="B7" s="617" t="s">
        <v>856</v>
      </c>
      <c r="C7" s="617"/>
    </row>
    <row r="8" spans="1:5" x14ac:dyDescent="0.2">
      <c r="A8" s="51"/>
      <c r="B8" s="618"/>
      <c r="C8" s="618"/>
    </row>
    <row r="9" spans="1:5" s="60" customFormat="1" ht="25.5" x14ac:dyDescent="0.25">
      <c r="A9" s="512" t="s">
        <v>186</v>
      </c>
      <c r="B9" s="512" t="s">
        <v>187</v>
      </c>
      <c r="C9" s="513" t="s">
        <v>188</v>
      </c>
    </row>
    <row r="10" spans="1:5" s="106" customFormat="1" hidden="1" x14ac:dyDescent="0.25">
      <c r="B10" s="620" t="s">
        <v>189</v>
      </c>
      <c r="C10" s="621"/>
    </row>
    <row r="11" spans="1:5" s="106" customFormat="1" ht="22.5" customHeight="1" x14ac:dyDescent="0.25">
      <c r="A11" s="619">
        <v>1</v>
      </c>
      <c r="B11" s="620" t="s">
        <v>192</v>
      </c>
      <c r="C11" s="621">
        <v>300</v>
      </c>
    </row>
    <row r="12" spans="1:5" s="635" customFormat="1" ht="22.5" customHeight="1" x14ac:dyDescent="0.25">
      <c r="A12" s="622"/>
      <c r="B12" s="623" t="s">
        <v>10</v>
      </c>
      <c r="C12" s="624">
        <f>SUM(C10:C11)</f>
        <v>300</v>
      </c>
    </row>
  </sheetData>
  <mergeCells count="1">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I9" sqref="I9"/>
    </sheetView>
  </sheetViews>
  <sheetFormatPr defaultRowHeight="15" x14ac:dyDescent="0.25"/>
  <cols>
    <col min="1" max="1" width="57.42578125" customWidth="1"/>
    <col min="2" max="4" width="14.7109375" customWidth="1"/>
    <col min="257" max="257" width="37.85546875" customWidth="1"/>
    <col min="258" max="258" width="12.42578125" customWidth="1"/>
    <col min="259" max="259" width="12.140625" customWidth="1"/>
    <col min="260" max="260" width="12" customWidth="1"/>
    <col min="513" max="513" width="37.85546875" customWidth="1"/>
    <col min="514" max="514" width="12.42578125" customWidth="1"/>
    <col min="515" max="515" width="12.140625" customWidth="1"/>
    <col min="516" max="516" width="12" customWidth="1"/>
    <col min="769" max="769" width="37.85546875" customWidth="1"/>
    <col min="770" max="770" width="12.42578125" customWidth="1"/>
    <col min="771" max="771" width="12.140625" customWidth="1"/>
    <col min="772" max="772" width="12" customWidth="1"/>
    <col min="1025" max="1025" width="37.85546875" customWidth="1"/>
    <col min="1026" max="1026" width="12.42578125" customWidth="1"/>
    <col min="1027" max="1027" width="12.140625" customWidth="1"/>
    <col min="1028" max="1028" width="12" customWidth="1"/>
    <col min="1281" max="1281" width="37.85546875" customWidth="1"/>
    <col min="1282" max="1282" width="12.42578125" customWidth="1"/>
    <col min="1283" max="1283" width="12.140625" customWidth="1"/>
    <col min="1284" max="1284" width="12" customWidth="1"/>
    <col min="1537" max="1537" width="37.85546875" customWidth="1"/>
    <col min="1538" max="1538" width="12.42578125" customWidth="1"/>
    <col min="1539" max="1539" width="12.140625" customWidth="1"/>
    <col min="1540" max="1540" width="12" customWidth="1"/>
    <col min="1793" max="1793" width="37.85546875" customWidth="1"/>
    <col min="1794" max="1794" width="12.42578125" customWidth="1"/>
    <col min="1795" max="1795" width="12.140625" customWidth="1"/>
    <col min="1796" max="1796" width="12" customWidth="1"/>
    <col min="2049" max="2049" width="37.85546875" customWidth="1"/>
    <col min="2050" max="2050" width="12.42578125" customWidth="1"/>
    <col min="2051" max="2051" width="12.140625" customWidth="1"/>
    <col min="2052" max="2052" width="12" customWidth="1"/>
    <col min="2305" max="2305" width="37.85546875" customWidth="1"/>
    <col min="2306" max="2306" width="12.42578125" customWidth="1"/>
    <col min="2307" max="2307" width="12.140625" customWidth="1"/>
    <col min="2308" max="2308" width="12" customWidth="1"/>
    <col min="2561" max="2561" width="37.85546875" customWidth="1"/>
    <col min="2562" max="2562" width="12.42578125" customWidth="1"/>
    <col min="2563" max="2563" width="12.140625" customWidth="1"/>
    <col min="2564" max="2564" width="12" customWidth="1"/>
    <col min="2817" max="2817" width="37.85546875" customWidth="1"/>
    <col min="2818" max="2818" width="12.42578125" customWidth="1"/>
    <col min="2819" max="2819" width="12.140625" customWidth="1"/>
    <col min="2820" max="2820" width="12" customWidth="1"/>
    <col min="3073" max="3073" width="37.85546875" customWidth="1"/>
    <col min="3074" max="3074" width="12.42578125" customWidth="1"/>
    <col min="3075" max="3075" width="12.140625" customWidth="1"/>
    <col min="3076" max="3076" width="12" customWidth="1"/>
    <col min="3329" max="3329" width="37.85546875" customWidth="1"/>
    <col min="3330" max="3330" width="12.42578125" customWidth="1"/>
    <col min="3331" max="3331" width="12.140625" customWidth="1"/>
    <col min="3332" max="3332" width="12" customWidth="1"/>
    <col min="3585" max="3585" width="37.85546875" customWidth="1"/>
    <col min="3586" max="3586" width="12.42578125" customWidth="1"/>
    <col min="3587" max="3587" width="12.140625" customWidth="1"/>
    <col min="3588" max="3588" width="12" customWidth="1"/>
    <col min="3841" max="3841" width="37.85546875" customWidth="1"/>
    <col min="3842" max="3842" width="12.42578125" customWidth="1"/>
    <col min="3843" max="3843" width="12.140625" customWidth="1"/>
    <col min="3844" max="3844" width="12" customWidth="1"/>
    <col min="4097" max="4097" width="37.85546875" customWidth="1"/>
    <col min="4098" max="4098" width="12.42578125" customWidth="1"/>
    <col min="4099" max="4099" width="12.140625" customWidth="1"/>
    <col min="4100" max="4100" width="12" customWidth="1"/>
    <col min="4353" max="4353" width="37.85546875" customWidth="1"/>
    <col min="4354" max="4354" width="12.42578125" customWidth="1"/>
    <col min="4355" max="4355" width="12.140625" customWidth="1"/>
    <col min="4356" max="4356" width="12" customWidth="1"/>
    <col min="4609" max="4609" width="37.85546875" customWidth="1"/>
    <col min="4610" max="4610" width="12.42578125" customWidth="1"/>
    <col min="4611" max="4611" width="12.140625" customWidth="1"/>
    <col min="4612" max="4612" width="12" customWidth="1"/>
    <col min="4865" max="4865" width="37.85546875" customWidth="1"/>
    <col min="4866" max="4866" width="12.42578125" customWidth="1"/>
    <col min="4867" max="4867" width="12.140625" customWidth="1"/>
    <col min="4868" max="4868" width="12" customWidth="1"/>
    <col min="5121" max="5121" width="37.85546875" customWidth="1"/>
    <col min="5122" max="5122" width="12.42578125" customWidth="1"/>
    <col min="5123" max="5123" width="12.140625" customWidth="1"/>
    <col min="5124" max="5124" width="12" customWidth="1"/>
    <col min="5377" max="5377" width="37.85546875" customWidth="1"/>
    <col min="5378" max="5378" width="12.42578125" customWidth="1"/>
    <col min="5379" max="5379" width="12.140625" customWidth="1"/>
    <col min="5380" max="5380" width="12" customWidth="1"/>
    <col min="5633" max="5633" width="37.85546875" customWidth="1"/>
    <col min="5634" max="5634" width="12.42578125" customWidth="1"/>
    <col min="5635" max="5635" width="12.140625" customWidth="1"/>
    <col min="5636" max="5636" width="12" customWidth="1"/>
    <col min="5889" max="5889" width="37.85546875" customWidth="1"/>
    <col min="5890" max="5890" width="12.42578125" customWidth="1"/>
    <col min="5891" max="5891" width="12.140625" customWidth="1"/>
    <col min="5892" max="5892" width="12" customWidth="1"/>
    <col min="6145" max="6145" width="37.85546875" customWidth="1"/>
    <col min="6146" max="6146" width="12.42578125" customWidth="1"/>
    <col min="6147" max="6147" width="12.140625" customWidth="1"/>
    <col min="6148" max="6148" width="12" customWidth="1"/>
    <col min="6401" max="6401" width="37.85546875" customWidth="1"/>
    <col min="6402" max="6402" width="12.42578125" customWidth="1"/>
    <col min="6403" max="6403" width="12.140625" customWidth="1"/>
    <col min="6404" max="6404" width="12" customWidth="1"/>
    <col min="6657" max="6657" width="37.85546875" customWidth="1"/>
    <col min="6658" max="6658" width="12.42578125" customWidth="1"/>
    <col min="6659" max="6659" width="12.140625" customWidth="1"/>
    <col min="6660" max="6660" width="12" customWidth="1"/>
    <col min="6913" max="6913" width="37.85546875" customWidth="1"/>
    <col min="6914" max="6914" width="12.42578125" customWidth="1"/>
    <col min="6915" max="6915" width="12.140625" customWidth="1"/>
    <col min="6916" max="6916" width="12" customWidth="1"/>
    <col min="7169" max="7169" width="37.85546875" customWidth="1"/>
    <col min="7170" max="7170" width="12.42578125" customWidth="1"/>
    <col min="7171" max="7171" width="12.140625" customWidth="1"/>
    <col min="7172" max="7172" width="12" customWidth="1"/>
    <col min="7425" max="7425" width="37.85546875" customWidth="1"/>
    <col min="7426" max="7426" width="12.42578125" customWidth="1"/>
    <col min="7427" max="7427" width="12.140625" customWidth="1"/>
    <col min="7428" max="7428" width="12" customWidth="1"/>
    <col min="7681" max="7681" width="37.85546875" customWidth="1"/>
    <col min="7682" max="7682" width="12.42578125" customWidth="1"/>
    <col min="7683" max="7683" width="12.140625" customWidth="1"/>
    <col min="7684" max="7684" width="12" customWidth="1"/>
    <col min="7937" max="7937" width="37.85546875" customWidth="1"/>
    <col min="7938" max="7938" width="12.42578125" customWidth="1"/>
    <col min="7939" max="7939" width="12.140625" customWidth="1"/>
    <col min="7940" max="7940" width="12" customWidth="1"/>
    <col min="8193" max="8193" width="37.85546875" customWidth="1"/>
    <col min="8194" max="8194" width="12.42578125" customWidth="1"/>
    <col min="8195" max="8195" width="12.140625" customWidth="1"/>
    <col min="8196" max="8196" width="12" customWidth="1"/>
    <col min="8449" max="8449" width="37.85546875" customWidth="1"/>
    <col min="8450" max="8450" width="12.42578125" customWidth="1"/>
    <col min="8451" max="8451" width="12.140625" customWidth="1"/>
    <col min="8452" max="8452" width="12" customWidth="1"/>
    <col min="8705" max="8705" width="37.85546875" customWidth="1"/>
    <col min="8706" max="8706" width="12.42578125" customWidth="1"/>
    <col min="8707" max="8707" width="12.140625" customWidth="1"/>
    <col min="8708" max="8708" width="12" customWidth="1"/>
    <col min="8961" max="8961" width="37.85546875" customWidth="1"/>
    <col min="8962" max="8962" width="12.42578125" customWidth="1"/>
    <col min="8963" max="8963" width="12.140625" customWidth="1"/>
    <col min="8964" max="8964" width="12" customWidth="1"/>
    <col min="9217" max="9217" width="37.85546875" customWidth="1"/>
    <col min="9218" max="9218" width="12.42578125" customWidth="1"/>
    <col min="9219" max="9219" width="12.140625" customWidth="1"/>
    <col min="9220" max="9220" width="12" customWidth="1"/>
    <col min="9473" max="9473" width="37.85546875" customWidth="1"/>
    <col min="9474" max="9474" width="12.42578125" customWidth="1"/>
    <col min="9475" max="9475" width="12.140625" customWidth="1"/>
    <col min="9476" max="9476" width="12" customWidth="1"/>
    <col min="9729" max="9729" width="37.85546875" customWidth="1"/>
    <col min="9730" max="9730" width="12.42578125" customWidth="1"/>
    <col min="9731" max="9731" width="12.140625" customWidth="1"/>
    <col min="9732" max="9732" width="12" customWidth="1"/>
    <col min="9985" max="9985" width="37.85546875" customWidth="1"/>
    <col min="9986" max="9986" width="12.42578125" customWidth="1"/>
    <col min="9987" max="9987" width="12.140625" customWidth="1"/>
    <col min="9988" max="9988" width="12" customWidth="1"/>
    <col min="10241" max="10241" width="37.85546875" customWidth="1"/>
    <col min="10242" max="10242" width="12.42578125" customWidth="1"/>
    <col min="10243" max="10243" width="12.140625" customWidth="1"/>
    <col min="10244" max="10244" width="12" customWidth="1"/>
    <col min="10497" max="10497" width="37.85546875" customWidth="1"/>
    <col min="10498" max="10498" width="12.42578125" customWidth="1"/>
    <col min="10499" max="10499" width="12.140625" customWidth="1"/>
    <col min="10500" max="10500" width="12" customWidth="1"/>
    <col min="10753" max="10753" width="37.85546875" customWidth="1"/>
    <col min="10754" max="10754" width="12.42578125" customWidth="1"/>
    <col min="10755" max="10755" width="12.140625" customWidth="1"/>
    <col min="10756" max="10756" width="12" customWidth="1"/>
    <col min="11009" max="11009" width="37.85546875" customWidth="1"/>
    <col min="11010" max="11010" width="12.42578125" customWidth="1"/>
    <col min="11011" max="11011" width="12.140625" customWidth="1"/>
    <col min="11012" max="11012" width="12" customWidth="1"/>
    <col min="11265" max="11265" width="37.85546875" customWidth="1"/>
    <col min="11266" max="11266" width="12.42578125" customWidth="1"/>
    <col min="11267" max="11267" width="12.140625" customWidth="1"/>
    <col min="11268" max="11268" width="12" customWidth="1"/>
    <col min="11521" max="11521" width="37.85546875" customWidth="1"/>
    <col min="11522" max="11522" width="12.42578125" customWidth="1"/>
    <col min="11523" max="11523" width="12.140625" customWidth="1"/>
    <col min="11524" max="11524" width="12" customWidth="1"/>
    <col min="11777" max="11777" width="37.85546875" customWidth="1"/>
    <col min="11778" max="11778" width="12.42578125" customWidth="1"/>
    <col min="11779" max="11779" width="12.140625" customWidth="1"/>
    <col min="11780" max="11780" width="12" customWidth="1"/>
    <col min="12033" max="12033" width="37.85546875" customWidth="1"/>
    <col min="12034" max="12034" width="12.42578125" customWidth="1"/>
    <col min="12035" max="12035" width="12.140625" customWidth="1"/>
    <col min="12036" max="12036" width="12" customWidth="1"/>
    <col min="12289" max="12289" width="37.85546875" customWidth="1"/>
    <col min="12290" max="12290" width="12.42578125" customWidth="1"/>
    <col min="12291" max="12291" width="12.140625" customWidth="1"/>
    <col min="12292" max="12292" width="12" customWidth="1"/>
    <col min="12545" max="12545" width="37.85546875" customWidth="1"/>
    <col min="12546" max="12546" width="12.42578125" customWidth="1"/>
    <col min="12547" max="12547" width="12.140625" customWidth="1"/>
    <col min="12548" max="12548" width="12" customWidth="1"/>
    <col min="12801" max="12801" width="37.85546875" customWidth="1"/>
    <col min="12802" max="12802" width="12.42578125" customWidth="1"/>
    <col min="12803" max="12803" width="12.140625" customWidth="1"/>
    <col min="12804" max="12804" width="12" customWidth="1"/>
    <col min="13057" max="13057" width="37.85546875" customWidth="1"/>
    <col min="13058" max="13058" width="12.42578125" customWidth="1"/>
    <col min="13059" max="13059" width="12.140625" customWidth="1"/>
    <col min="13060" max="13060" width="12" customWidth="1"/>
    <col min="13313" max="13313" width="37.85546875" customWidth="1"/>
    <col min="13314" max="13314" width="12.42578125" customWidth="1"/>
    <col min="13315" max="13315" width="12.140625" customWidth="1"/>
    <col min="13316" max="13316" width="12" customWidth="1"/>
    <col min="13569" max="13569" width="37.85546875" customWidth="1"/>
    <col min="13570" max="13570" width="12.42578125" customWidth="1"/>
    <col min="13571" max="13571" width="12.140625" customWidth="1"/>
    <col min="13572" max="13572" width="12" customWidth="1"/>
    <col min="13825" max="13825" width="37.85546875" customWidth="1"/>
    <col min="13826" max="13826" width="12.42578125" customWidth="1"/>
    <col min="13827" max="13827" width="12.140625" customWidth="1"/>
    <col min="13828" max="13828" width="12" customWidth="1"/>
    <col min="14081" max="14081" width="37.85546875" customWidth="1"/>
    <col min="14082" max="14082" width="12.42578125" customWidth="1"/>
    <col min="14083" max="14083" width="12.140625" customWidth="1"/>
    <col min="14084" max="14084" width="12" customWidth="1"/>
    <col min="14337" max="14337" width="37.85546875" customWidth="1"/>
    <col min="14338" max="14338" width="12.42578125" customWidth="1"/>
    <col min="14339" max="14339" width="12.140625" customWidth="1"/>
    <col min="14340" max="14340" width="12" customWidth="1"/>
    <col min="14593" max="14593" width="37.85546875" customWidth="1"/>
    <col min="14594" max="14594" width="12.42578125" customWidth="1"/>
    <col min="14595" max="14595" width="12.140625" customWidth="1"/>
    <col min="14596" max="14596" width="12" customWidth="1"/>
    <col min="14849" max="14849" width="37.85546875" customWidth="1"/>
    <col min="14850" max="14850" width="12.42578125" customWidth="1"/>
    <col min="14851" max="14851" width="12.140625" customWidth="1"/>
    <col min="14852" max="14852" width="12" customWidth="1"/>
    <col min="15105" max="15105" width="37.85546875" customWidth="1"/>
    <col min="15106" max="15106" width="12.42578125" customWidth="1"/>
    <col min="15107" max="15107" width="12.140625" customWidth="1"/>
    <col min="15108" max="15108" width="12" customWidth="1"/>
    <col min="15361" max="15361" width="37.85546875" customWidth="1"/>
    <col min="15362" max="15362" width="12.42578125" customWidth="1"/>
    <col min="15363" max="15363" width="12.140625" customWidth="1"/>
    <col min="15364" max="15364" width="12" customWidth="1"/>
    <col min="15617" max="15617" width="37.85546875" customWidth="1"/>
    <col min="15618" max="15618" width="12.42578125" customWidth="1"/>
    <col min="15619" max="15619" width="12.140625" customWidth="1"/>
    <col min="15620" max="15620" width="12" customWidth="1"/>
    <col min="15873" max="15873" width="37.85546875" customWidth="1"/>
    <col min="15874" max="15874" width="12.42578125" customWidth="1"/>
    <col min="15875" max="15875" width="12.140625" customWidth="1"/>
    <col min="15876" max="15876" width="12" customWidth="1"/>
    <col min="16129" max="16129" width="37.85546875" customWidth="1"/>
    <col min="16130" max="16130" width="12.42578125" customWidth="1"/>
    <col min="16131" max="16131" width="12.140625" customWidth="1"/>
    <col min="16132" max="16132" width="12" customWidth="1"/>
  </cols>
  <sheetData>
    <row r="1" spans="1:9" x14ac:dyDescent="0.25">
      <c r="A1" s="163"/>
      <c r="B1" s="516" t="s">
        <v>549</v>
      </c>
      <c r="C1" s="516"/>
      <c r="D1" s="516"/>
    </row>
    <row r="2" spans="1:9" ht="78.75" customHeight="1" x14ac:dyDescent="0.25">
      <c r="A2" s="163"/>
      <c r="B2" s="517" t="s">
        <v>691</v>
      </c>
      <c r="C2" s="517"/>
      <c r="D2" s="517"/>
    </row>
    <row r="3" spans="1:9" ht="62.25" customHeight="1" x14ac:dyDescent="0.25">
      <c r="A3" s="518" t="s">
        <v>591</v>
      </c>
      <c r="B3" s="518"/>
      <c r="C3" s="518"/>
      <c r="D3" s="518"/>
    </row>
    <row r="4" spans="1:9" ht="46.5" customHeight="1" x14ac:dyDescent="0.25">
      <c r="A4" s="248" t="s">
        <v>417</v>
      </c>
      <c r="B4" s="248" t="s">
        <v>694</v>
      </c>
      <c r="C4" s="248" t="s">
        <v>418</v>
      </c>
      <c r="D4" s="248" t="s">
        <v>419</v>
      </c>
    </row>
    <row r="5" spans="1:9" ht="38.25" x14ac:dyDescent="0.25">
      <c r="A5" s="164" t="s">
        <v>420</v>
      </c>
      <c r="B5" s="165"/>
      <c r="C5" s="165"/>
      <c r="D5" s="165"/>
    </row>
    <row r="6" spans="1:9" ht="59.25" customHeight="1" x14ac:dyDescent="0.25">
      <c r="A6" s="166" t="s">
        <v>421</v>
      </c>
      <c r="B6" s="167">
        <v>1</v>
      </c>
      <c r="C6" s="168"/>
      <c r="D6" s="168"/>
      <c r="H6" t="s">
        <v>195</v>
      </c>
    </row>
    <row r="7" spans="1:9" ht="31.5" customHeight="1" x14ac:dyDescent="0.25">
      <c r="A7" s="166" t="s">
        <v>422</v>
      </c>
      <c r="B7" s="167">
        <v>1</v>
      </c>
      <c r="C7" s="168"/>
      <c r="D7" s="168"/>
    </row>
    <row r="8" spans="1:9" ht="31.5" customHeight="1" x14ac:dyDescent="0.25">
      <c r="A8" s="169" t="s">
        <v>423</v>
      </c>
      <c r="B8" s="167"/>
      <c r="C8" s="168"/>
      <c r="D8" s="168"/>
    </row>
    <row r="9" spans="1:9" ht="31.5" customHeight="1" x14ac:dyDescent="0.25">
      <c r="A9" s="170" t="s">
        <v>424</v>
      </c>
      <c r="B9" s="167">
        <v>1</v>
      </c>
      <c r="C9" s="168"/>
      <c r="D9" s="168"/>
    </row>
    <row r="10" spans="1:9" ht="31.5" customHeight="1" x14ac:dyDescent="0.25">
      <c r="A10" s="170" t="s">
        <v>425</v>
      </c>
      <c r="B10" s="167">
        <v>1</v>
      </c>
      <c r="C10" s="168"/>
      <c r="D10" s="168"/>
    </row>
    <row r="11" spans="1:9" ht="21" customHeight="1" x14ac:dyDescent="0.25">
      <c r="A11" s="169" t="s">
        <v>426</v>
      </c>
      <c r="B11" s="167"/>
      <c r="C11" s="168"/>
      <c r="D11" s="168"/>
    </row>
    <row r="12" spans="1:9" ht="27" customHeight="1" x14ac:dyDescent="0.25">
      <c r="A12" s="170" t="s">
        <v>427</v>
      </c>
      <c r="B12" s="167">
        <v>1</v>
      </c>
      <c r="C12" s="168"/>
      <c r="D12" s="168"/>
    </row>
    <row r="13" spans="1:9" ht="20.25" customHeight="1" x14ac:dyDescent="0.25">
      <c r="A13" s="171" t="s">
        <v>428</v>
      </c>
      <c r="B13" s="165"/>
      <c r="C13" s="165"/>
      <c r="D13" s="165"/>
    </row>
    <row r="14" spans="1:9" ht="54" customHeight="1" x14ac:dyDescent="0.25">
      <c r="A14" s="166" t="s">
        <v>429</v>
      </c>
      <c r="B14" s="167">
        <v>1</v>
      </c>
      <c r="C14" s="168"/>
      <c r="D14" s="168"/>
      <c r="I14" t="s">
        <v>195</v>
      </c>
    </row>
    <row r="15" spans="1:9" ht="42.75" customHeight="1" x14ac:dyDescent="0.25">
      <c r="A15" s="166" t="s">
        <v>430</v>
      </c>
      <c r="B15" s="167">
        <v>1</v>
      </c>
      <c r="C15" s="168"/>
      <c r="D15" s="168"/>
    </row>
    <row r="16" spans="1:9" ht="32.25" customHeight="1" x14ac:dyDescent="0.25">
      <c r="A16" s="170" t="s">
        <v>431</v>
      </c>
      <c r="B16" s="167">
        <v>1</v>
      </c>
      <c r="C16" s="168"/>
      <c r="D16" s="168"/>
    </row>
    <row r="17" spans="1:4" ht="58.5" customHeight="1" x14ac:dyDescent="0.25">
      <c r="A17" s="166" t="s">
        <v>432</v>
      </c>
      <c r="B17" s="167">
        <v>1</v>
      </c>
      <c r="C17" s="168"/>
      <c r="D17" s="168"/>
    </row>
    <row r="18" spans="1:4" x14ac:dyDescent="0.25">
      <c r="A18" s="171" t="s">
        <v>433</v>
      </c>
      <c r="B18" s="172"/>
      <c r="C18" s="165"/>
      <c r="D18" s="165"/>
    </row>
    <row r="19" spans="1:4" ht="30.75" customHeight="1" x14ac:dyDescent="0.25">
      <c r="A19" s="166" t="s">
        <v>434</v>
      </c>
      <c r="B19" s="167">
        <v>1</v>
      </c>
      <c r="C19" s="168"/>
      <c r="D19" s="168"/>
    </row>
    <row r="20" spans="1:4" ht="30.75" customHeight="1" x14ac:dyDescent="0.25">
      <c r="A20" s="166" t="s">
        <v>435</v>
      </c>
      <c r="B20" s="167">
        <v>1</v>
      </c>
      <c r="C20" s="168"/>
      <c r="D20" s="168"/>
    </row>
  </sheetData>
  <mergeCells count="3">
    <mergeCell ref="B1:D1"/>
    <mergeCell ref="B2:D2"/>
    <mergeCell ref="A3:D3"/>
  </mergeCells>
  <pageMargins left="0.70866141732283472" right="0.51181102362204722" top="0.35433070866141736" bottom="0.74803149606299213"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25" sqref="B25"/>
    </sheetView>
  </sheetViews>
  <sheetFormatPr defaultRowHeight="12.75" x14ac:dyDescent="0.2"/>
  <cols>
    <col min="1" max="1" width="4.140625" style="54" customWidth="1"/>
    <col min="2" max="2" width="58.85546875" style="54" customWidth="1"/>
    <col min="3" max="4" width="16.140625" style="54" customWidth="1"/>
    <col min="5" max="254" width="9.140625" style="54"/>
    <col min="255" max="255" width="4.140625" style="54" customWidth="1"/>
    <col min="256" max="256" width="58.85546875" style="54" customWidth="1"/>
    <col min="257" max="257" width="32.85546875" style="54" customWidth="1"/>
    <col min="258" max="510" width="9.140625" style="54"/>
    <col min="511" max="511" width="4.140625" style="54" customWidth="1"/>
    <col min="512" max="512" width="58.85546875" style="54" customWidth="1"/>
    <col min="513" max="513" width="32.85546875" style="54" customWidth="1"/>
    <col min="514" max="766" width="9.140625" style="54"/>
    <col min="767" max="767" width="4.140625" style="54" customWidth="1"/>
    <col min="768" max="768" width="58.85546875" style="54" customWidth="1"/>
    <col min="769" max="769" width="32.85546875" style="54" customWidth="1"/>
    <col min="770" max="1022" width="9.140625" style="54"/>
    <col min="1023" max="1023" width="4.140625" style="54" customWidth="1"/>
    <col min="1024" max="1024" width="58.85546875" style="54" customWidth="1"/>
    <col min="1025" max="1025" width="32.85546875" style="54" customWidth="1"/>
    <col min="1026" max="1278" width="9.140625" style="54"/>
    <col min="1279" max="1279" width="4.140625" style="54" customWidth="1"/>
    <col min="1280" max="1280" width="58.85546875" style="54" customWidth="1"/>
    <col min="1281" max="1281" width="32.85546875" style="54" customWidth="1"/>
    <col min="1282" max="1534" width="9.140625" style="54"/>
    <col min="1535" max="1535" width="4.140625" style="54" customWidth="1"/>
    <col min="1536" max="1536" width="58.85546875" style="54" customWidth="1"/>
    <col min="1537" max="1537" width="32.85546875" style="54" customWidth="1"/>
    <col min="1538" max="1790" width="9.140625" style="54"/>
    <col min="1791" max="1791" width="4.140625" style="54" customWidth="1"/>
    <col min="1792" max="1792" width="58.85546875" style="54" customWidth="1"/>
    <col min="1793" max="1793" width="32.85546875" style="54" customWidth="1"/>
    <col min="1794" max="2046" width="9.140625" style="54"/>
    <col min="2047" max="2047" width="4.140625" style="54" customWidth="1"/>
    <col min="2048" max="2048" width="58.85546875" style="54" customWidth="1"/>
    <col min="2049" max="2049" width="32.85546875" style="54" customWidth="1"/>
    <col min="2050" max="2302" width="9.140625" style="54"/>
    <col min="2303" max="2303" width="4.140625" style="54" customWidth="1"/>
    <col min="2304" max="2304" width="58.85546875" style="54" customWidth="1"/>
    <col min="2305" max="2305" width="32.85546875" style="54" customWidth="1"/>
    <col min="2306" max="2558" width="9.140625" style="54"/>
    <col min="2559" max="2559" width="4.140625" style="54" customWidth="1"/>
    <col min="2560" max="2560" width="58.85546875" style="54" customWidth="1"/>
    <col min="2561" max="2561" width="32.85546875" style="54" customWidth="1"/>
    <col min="2562" max="2814" width="9.140625" style="54"/>
    <col min="2815" max="2815" width="4.140625" style="54" customWidth="1"/>
    <col min="2816" max="2816" width="58.85546875" style="54" customWidth="1"/>
    <col min="2817" max="2817" width="32.85546875" style="54" customWidth="1"/>
    <col min="2818" max="3070" width="9.140625" style="54"/>
    <col min="3071" max="3071" width="4.140625" style="54" customWidth="1"/>
    <col min="3072" max="3072" width="58.85546875" style="54" customWidth="1"/>
    <col min="3073" max="3073" width="32.85546875" style="54" customWidth="1"/>
    <col min="3074" max="3326" width="9.140625" style="54"/>
    <col min="3327" max="3327" width="4.140625" style="54" customWidth="1"/>
    <col min="3328" max="3328" width="58.85546875" style="54" customWidth="1"/>
    <col min="3329" max="3329" width="32.85546875" style="54" customWidth="1"/>
    <col min="3330" max="3582" width="9.140625" style="54"/>
    <col min="3583" max="3583" width="4.140625" style="54" customWidth="1"/>
    <col min="3584" max="3584" width="58.85546875" style="54" customWidth="1"/>
    <col min="3585" max="3585" width="32.85546875" style="54" customWidth="1"/>
    <col min="3586" max="3838" width="9.140625" style="54"/>
    <col min="3839" max="3839" width="4.140625" style="54" customWidth="1"/>
    <col min="3840" max="3840" width="58.85546875" style="54" customWidth="1"/>
    <col min="3841" max="3841" width="32.85546875" style="54" customWidth="1"/>
    <col min="3842" max="4094" width="9.140625" style="54"/>
    <col min="4095" max="4095" width="4.140625" style="54" customWidth="1"/>
    <col min="4096" max="4096" width="58.85546875" style="54" customWidth="1"/>
    <col min="4097" max="4097" width="32.85546875" style="54" customWidth="1"/>
    <col min="4098" max="4350" width="9.140625" style="54"/>
    <col min="4351" max="4351" width="4.140625" style="54" customWidth="1"/>
    <col min="4352" max="4352" width="58.85546875" style="54" customWidth="1"/>
    <col min="4353" max="4353" width="32.85546875" style="54" customWidth="1"/>
    <col min="4354" max="4606" width="9.140625" style="54"/>
    <col min="4607" max="4607" width="4.140625" style="54" customWidth="1"/>
    <col min="4608" max="4608" width="58.85546875" style="54" customWidth="1"/>
    <col min="4609" max="4609" width="32.85546875" style="54" customWidth="1"/>
    <col min="4610" max="4862" width="9.140625" style="54"/>
    <col min="4863" max="4863" width="4.140625" style="54" customWidth="1"/>
    <col min="4864" max="4864" width="58.85546875" style="54" customWidth="1"/>
    <col min="4865" max="4865" width="32.85546875" style="54" customWidth="1"/>
    <col min="4866" max="5118" width="9.140625" style="54"/>
    <col min="5119" max="5119" width="4.140625" style="54" customWidth="1"/>
    <col min="5120" max="5120" width="58.85546875" style="54" customWidth="1"/>
    <col min="5121" max="5121" width="32.85546875" style="54" customWidth="1"/>
    <col min="5122" max="5374" width="9.140625" style="54"/>
    <col min="5375" max="5375" width="4.140625" style="54" customWidth="1"/>
    <col min="5376" max="5376" width="58.85546875" style="54" customWidth="1"/>
    <col min="5377" max="5377" width="32.85546875" style="54" customWidth="1"/>
    <col min="5378" max="5630" width="9.140625" style="54"/>
    <col min="5631" max="5631" width="4.140625" style="54" customWidth="1"/>
    <col min="5632" max="5632" width="58.85546875" style="54" customWidth="1"/>
    <col min="5633" max="5633" width="32.85546875" style="54" customWidth="1"/>
    <col min="5634" max="5886" width="9.140625" style="54"/>
    <col min="5887" max="5887" width="4.140625" style="54" customWidth="1"/>
    <col min="5888" max="5888" width="58.85546875" style="54" customWidth="1"/>
    <col min="5889" max="5889" width="32.85546875" style="54" customWidth="1"/>
    <col min="5890" max="6142" width="9.140625" style="54"/>
    <col min="6143" max="6143" width="4.140625" style="54" customWidth="1"/>
    <col min="6144" max="6144" width="58.85546875" style="54" customWidth="1"/>
    <col min="6145" max="6145" width="32.85546875" style="54" customWidth="1"/>
    <col min="6146" max="6398" width="9.140625" style="54"/>
    <col min="6399" max="6399" width="4.140625" style="54" customWidth="1"/>
    <col min="6400" max="6400" width="58.85546875" style="54" customWidth="1"/>
    <col min="6401" max="6401" width="32.85546875" style="54" customWidth="1"/>
    <col min="6402" max="6654" width="9.140625" style="54"/>
    <col min="6655" max="6655" width="4.140625" style="54" customWidth="1"/>
    <col min="6656" max="6656" width="58.85546875" style="54" customWidth="1"/>
    <col min="6657" max="6657" width="32.85546875" style="54" customWidth="1"/>
    <col min="6658" max="6910" width="9.140625" style="54"/>
    <col min="6911" max="6911" width="4.140625" style="54" customWidth="1"/>
    <col min="6912" max="6912" width="58.85546875" style="54" customWidth="1"/>
    <col min="6913" max="6913" width="32.85546875" style="54" customWidth="1"/>
    <col min="6914" max="7166" width="9.140625" style="54"/>
    <col min="7167" max="7167" width="4.140625" style="54" customWidth="1"/>
    <col min="7168" max="7168" width="58.85546875" style="54" customWidth="1"/>
    <col min="7169" max="7169" width="32.85546875" style="54" customWidth="1"/>
    <col min="7170" max="7422" width="9.140625" style="54"/>
    <col min="7423" max="7423" width="4.140625" style="54" customWidth="1"/>
    <col min="7424" max="7424" width="58.85546875" style="54" customWidth="1"/>
    <col min="7425" max="7425" width="32.85546875" style="54" customWidth="1"/>
    <col min="7426" max="7678" width="9.140625" style="54"/>
    <col min="7679" max="7679" width="4.140625" style="54" customWidth="1"/>
    <col min="7680" max="7680" width="58.85546875" style="54" customWidth="1"/>
    <col min="7681" max="7681" width="32.85546875" style="54" customWidth="1"/>
    <col min="7682" max="7934" width="9.140625" style="54"/>
    <col min="7935" max="7935" width="4.140625" style="54" customWidth="1"/>
    <col min="7936" max="7936" width="58.85546875" style="54" customWidth="1"/>
    <col min="7937" max="7937" width="32.85546875" style="54" customWidth="1"/>
    <col min="7938" max="8190" width="9.140625" style="54"/>
    <col min="8191" max="8191" width="4.140625" style="54" customWidth="1"/>
    <col min="8192" max="8192" width="58.85546875" style="54" customWidth="1"/>
    <col min="8193" max="8193" width="32.85546875" style="54" customWidth="1"/>
    <col min="8194" max="8446" width="9.140625" style="54"/>
    <col min="8447" max="8447" width="4.140625" style="54" customWidth="1"/>
    <col min="8448" max="8448" width="58.85546875" style="54" customWidth="1"/>
    <col min="8449" max="8449" width="32.85546875" style="54" customWidth="1"/>
    <col min="8450" max="8702" width="9.140625" style="54"/>
    <col min="8703" max="8703" width="4.140625" style="54" customWidth="1"/>
    <col min="8704" max="8704" width="58.85546875" style="54" customWidth="1"/>
    <col min="8705" max="8705" width="32.85546875" style="54" customWidth="1"/>
    <col min="8706" max="8958" width="9.140625" style="54"/>
    <col min="8959" max="8959" width="4.140625" style="54" customWidth="1"/>
    <col min="8960" max="8960" width="58.85546875" style="54" customWidth="1"/>
    <col min="8961" max="8961" width="32.85546875" style="54" customWidth="1"/>
    <col min="8962" max="9214" width="9.140625" style="54"/>
    <col min="9215" max="9215" width="4.140625" style="54" customWidth="1"/>
    <col min="9216" max="9216" width="58.85546875" style="54" customWidth="1"/>
    <col min="9217" max="9217" width="32.85546875" style="54" customWidth="1"/>
    <col min="9218" max="9470" width="9.140625" style="54"/>
    <col min="9471" max="9471" width="4.140625" style="54" customWidth="1"/>
    <col min="9472" max="9472" width="58.85546875" style="54" customWidth="1"/>
    <col min="9473" max="9473" width="32.85546875" style="54" customWidth="1"/>
    <col min="9474" max="9726" width="9.140625" style="54"/>
    <col min="9727" max="9727" width="4.140625" style="54" customWidth="1"/>
    <col min="9728" max="9728" width="58.85546875" style="54" customWidth="1"/>
    <col min="9729" max="9729" width="32.85546875" style="54" customWidth="1"/>
    <col min="9730" max="9982" width="9.140625" style="54"/>
    <col min="9983" max="9983" width="4.140625" style="54" customWidth="1"/>
    <col min="9984" max="9984" width="58.85546875" style="54" customWidth="1"/>
    <col min="9985" max="9985" width="32.85546875" style="54" customWidth="1"/>
    <col min="9986" max="10238" width="9.140625" style="54"/>
    <col min="10239" max="10239" width="4.140625" style="54" customWidth="1"/>
    <col min="10240" max="10240" width="58.85546875" style="54" customWidth="1"/>
    <col min="10241" max="10241" width="32.85546875" style="54" customWidth="1"/>
    <col min="10242" max="10494" width="9.140625" style="54"/>
    <col min="10495" max="10495" width="4.140625" style="54" customWidth="1"/>
    <col min="10496" max="10496" width="58.85546875" style="54" customWidth="1"/>
    <col min="10497" max="10497" width="32.85546875" style="54" customWidth="1"/>
    <col min="10498" max="10750" width="9.140625" style="54"/>
    <col min="10751" max="10751" width="4.140625" style="54" customWidth="1"/>
    <col min="10752" max="10752" width="58.85546875" style="54" customWidth="1"/>
    <col min="10753" max="10753" width="32.85546875" style="54" customWidth="1"/>
    <col min="10754" max="11006" width="9.140625" style="54"/>
    <col min="11007" max="11007" width="4.140625" style="54" customWidth="1"/>
    <col min="11008" max="11008" width="58.85546875" style="54" customWidth="1"/>
    <col min="11009" max="11009" width="32.85546875" style="54" customWidth="1"/>
    <col min="11010" max="11262" width="9.140625" style="54"/>
    <col min="11263" max="11263" width="4.140625" style="54" customWidth="1"/>
    <col min="11264" max="11264" width="58.85546875" style="54" customWidth="1"/>
    <col min="11265" max="11265" width="32.85546875" style="54" customWidth="1"/>
    <col min="11266" max="11518" width="9.140625" style="54"/>
    <col min="11519" max="11519" width="4.140625" style="54" customWidth="1"/>
    <col min="11520" max="11520" width="58.85546875" style="54" customWidth="1"/>
    <col min="11521" max="11521" width="32.85546875" style="54" customWidth="1"/>
    <col min="11522" max="11774" width="9.140625" style="54"/>
    <col min="11775" max="11775" width="4.140625" style="54" customWidth="1"/>
    <col min="11776" max="11776" width="58.85546875" style="54" customWidth="1"/>
    <col min="11777" max="11777" width="32.85546875" style="54" customWidth="1"/>
    <col min="11778" max="12030" width="9.140625" style="54"/>
    <col min="12031" max="12031" width="4.140625" style="54" customWidth="1"/>
    <col min="12032" max="12032" width="58.85546875" style="54" customWidth="1"/>
    <col min="12033" max="12033" width="32.85546875" style="54" customWidth="1"/>
    <col min="12034" max="12286" width="9.140625" style="54"/>
    <col min="12287" max="12287" width="4.140625" style="54" customWidth="1"/>
    <col min="12288" max="12288" width="58.85546875" style="54" customWidth="1"/>
    <col min="12289" max="12289" width="32.85546875" style="54" customWidth="1"/>
    <col min="12290" max="12542" width="9.140625" style="54"/>
    <col min="12543" max="12543" width="4.140625" style="54" customWidth="1"/>
    <col min="12544" max="12544" width="58.85546875" style="54" customWidth="1"/>
    <col min="12545" max="12545" width="32.85546875" style="54" customWidth="1"/>
    <col min="12546" max="12798" width="9.140625" style="54"/>
    <col min="12799" max="12799" width="4.140625" style="54" customWidth="1"/>
    <col min="12800" max="12800" width="58.85546875" style="54" customWidth="1"/>
    <col min="12801" max="12801" width="32.85546875" style="54" customWidth="1"/>
    <col min="12802" max="13054" width="9.140625" style="54"/>
    <col min="13055" max="13055" width="4.140625" style="54" customWidth="1"/>
    <col min="13056" max="13056" width="58.85546875" style="54" customWidth="1"/>
    <col min="13057" max="13057" width="32.85546875" style="54" customWidth="1"/>
    <col min="13058" max="13310" width="9.140625" style="54"/>
    <col min="13311" max="13311" width="4.140625" style="54" customWidth="1"/>
    <col min="13312" max="13312" width="58.85546875" style="54" customWidth="1"/>
    <col min="13313" max="13313" width="32.85546875" style="54" customWidth="1"/>
    <col min="13314" max="13566" width="9.140625" style="54"/>
    <col min="13567" max="13567" width="4.140625" style="54" customWidth="1"/>
    <col min="13568" max="13568" width="58.85546875" style="54" customWidth="1"/>
    <col min="13569" max="13569" width="32.85546875" style="54" customWidth="1"/>
    <col min="13570" max="13822" width="9.140625" style="54"/>
    <col min="13823" max="13823" width="4.140625" style="54" customWidth="1"/>
    <col min="13824" max="13824" width="58.85546875" style="54" customWidth="1"/>
    <col min="13825" max="13825" width="32.85546875" style="54" customWidth="1"/>
    <col min="13826" max="14078" width="9.140625" style="54"/>
    <col min="14079" max="14079" width="4.140625" style="54" customWidth="1"/>
    <col min="14080" max="14080" width="58.85546875" style="54" customWidth="1"/>
    <col min="14081" max="14081" width="32.85546875" style="54" customWidth="1"/>
    <col min="14082" max="14334" width="9.140625" style="54"/>
    <col min="14335" max="14335" width="4.140625" style="54" customWidth="1"/>
    <col min="14336" max="14336" width="58.85546875" style="54" customWidth="1"/>
    <col min="14337" max="14337" width="32.85546875" style="54" customWidth="1"/>
    <col min="14338" max="14590" width="9.140625" style="54"/>
    <col min="14591" max="14591" width="4.140625" style="54" customWidth="1"/>
    <col min="14592" max="14592" width="58.85546875" style="54" customWidth="1"/>
    <col min="14593" max="14593" width="32.85546875" style="54" customWidth="1"/>
    <col min="14594" max="14846" width="9.140625" style="54"/>
    <col min="14847" max="14847" width="4.140625" style="54" customWidth="1"/>
    <col min="14848" max="14848" width="58.85546875" style="54" customWidth="1"/>
    <col min="14849" max="14849" width="32.85546875" style="54" customWidth="1"/>
    <col min="14850" max="15102" width="9.140625" style="54"/>
    <col min="15103" max="15103" width="4.140625" style="54" customWidth="1"/>
    <col min="15104" max="15104" width="58.85546875" style="54" customWidth="1"/>
    <col min="15105" max="15105" width="32.85546875" style="54" customWidth="1"/>
    <col min="15106" max="15358" width="9.140625" style="54"/>
    <col min="15359" max="15359" width="4.140625" style="54" customWidth="1"/>
    <col min="15360" max="15360" width="58.85546875" style="54" customWidth="1"/>
    <col min="15361" max="15361" width="32.85546875" style="54" customWidth="1"/>
    <col min="15362" max="15614" width="9.140625" style="54"/>
    <col min="15615" max="15615" width="4.140625" style="54" customWidth="1"/>
    <col min="15616" max="15616" width="58.85546875" style="54" customWidth="1"/>
    <col min="15617" max="15617" width="32.85546875" style="54" customWidth="1"/>
    <col min="15618" max="15870" width="9.140625" style="54"/>
    <col min="15871" max="15871" width="4.140625" style="54" customWidth="1"/>
    <col min="15872" max="15872" width="58.85546875" style="54" customWidth="1"/>
    <col min="15873" max="15873" width="32.85546875" style="54" customWidth="1"/>
    <col min="15874" max="16126" width="9.140625" style="54"/>
    <col min="16127" max="16127" width="4.140625" style="54" customWidth="1"/>
    <col min="16128" max="16128" width="58.85546875" style="54" customWidth="1"/>
    <col min="16129" max="16129" width="32.85546875" style="54" customWidth="1"/>
    <col min="16130" max="16384" width="9.140625" style="54"/>
  </cols>
  <sheetData>
    <row r="1" spans="1:4" ht="12" customHeight="1" x14ac:dyDescent="0.2">
      <c r="A1" s="51"/>
      <c r="B1" s="52"/>
      <c r="C1" s="609" t="s">
        <v>720</v>
      </c>
      <c r="D1" s="609"/>
    </row>
    <row r="2" spans="1:4" ht="58.5" customHeight="1" x14ac:dyDescent="0.2">
      <c r="A2" s="51"/>
      <c r="B2" s="52"/>
      <c r="C2" s="608" t="s">
        <v>593</v>
      </c>
      <c r="D2" s="608"/>
    </row>
    <row r="3" spans="1:4" ht="17.25" customHeight="1" x14ac:dyDescent="0.2">
      <c r="A3" s="51"/>
      <c r="B3" s="52"/>
      <c r="C3" s="598" t="s">
        <v>185</v>
      </c>
      <c r="D3" s="598"/>
    </row>
    <row r="4" spans="1:4" s="71" customFormat="1" ht="86.25" customHeight="1" x14ac:dyDescent="0.25">
      <c r="A4" s="69"/>
      <c r="B4" s="606" t="s">
        <v>724</v>
      </c>
      <c r="C4" s="606"/>
      <c r="D4" s="606"/>
    </row>
    <row r="5" spans="1:4" ht="15" x14ac:dyDescent="0.2">
      <c r="A5" s="51"/>
      <c r="B5" s="57"/>
      <c r="C5" s="57"/>
      <c r="D5" s="112" t="s">
        <v>330</v>
      </c>
    </row>
    <row r="6" spans="1:4" s="60" customFormat="1" ht="36" customHeight="1" x14ac:dyDescent="0.25">
      <c r="A6" s="101" t="s">
        <v>186</v>
      </c>
      <c r="B6" s="101" t="s">
        <v>187</v>
      </c>
      <c r="C6" s="266" t="s">
        <v>329</v>
      </c>
      <c r="D6" s="266" t="s">
        <v>703</v>
      </c>
    </row>
    <row r="7" spans="1:4" ht="41.25" customHeight="1" x14ac:dyDescent="0.2">
      <c r="A7" s="61">
        <v>1</v>
      </c>
      <c r="B7" s="62" t="s">
        <v>189</v>
      </c>
      <c r="C7" s="63">
        <v>1245953</v>
      </c>
      <c r="D7" s="63">
        <v>1116532</v>
      </c>
    </row>
    <row r="8" spans="1:4" ht="41.25" customHeight="1" x14ac:dyDescent="0.2">
      <c r="A8" s="61">
        <v>2</v>
      </c>
      <c r="B8" s="62" t="s">
        <v>190</v>
      </c>
      <c r="C8" s="63">
        <v>580422</v>
      </c>
      <c r="D8" s="63">
        <v>600612</v>
      </c>
    </row>
    <row r="9" spans="1:4" ht="41.25" customHeight="1" x14ac:dyDescent="0.2">
      <c r="A9" s="61">
        <v>3</v>
      </c>
      <c r="B9" s="62" t="s">
        <v>191</v>
      </c>
      <c r="C9" s="63">
        <v>1162696</v>
      </c>
      <c r="D9" s="63">
        <v>1189944</v>
      </c>
    </row>
    <row r="10" spans="1:4" ht="41.25" customHeight="1" x14ac:dyDescent="0.2">
      <c r="A10" s="61">
        <v>4</v>
      </c>
      <c r="B10" s="62" t="s">
        <v>192</v>
      </c>
      <c r="C10" s="63">
        <v>1746587</v>
      </c>
      <c r="D10" s="63">
        <v>1792072</v>
      </c>
    </row>
    <row r="11" spans="1:4" ht="41.25" customHeight="1" x14ac:dyDescent="0.2">
      <c r="A11" s="61">
        <v>5</v>
      </c>
      <c r="B11" s="62" t="s">
        <v>193</v>
      </c>
      <c r="C11" s="63">
        <v>589397</v>
      </c>
      <c r="D11" s="63">
        <v>615984</v>
      </c>
    </row>
    <row r="12" spans="1:4" ht="41.25" customHeight="1" x14ac:dyDescent="0.2">
      <c r="A12" s="61">
        <v>6</v>
      </c>
      <c r="B12" s="62" t="s">
        <v>194</v>
      </c>
      <c r="C12" s="63">
        <v>556945</v>
      </c>
      <c r="D12" s="63">
        <v>566856</v>
      </c>
    </row>
    <row r="13" spans="1:4" s="68" customFormat="1" ht="41.25" customHeight="1" x14ac:dyDescent="0.25">
      <c r="A13" s="64"/>
      <c r="B13" s="65" t="s">
        <v>10</v>
      </c>
      <c r="C13" s="66">
        <f>SUM(C7:C12)</f>
        <v>5882000</v>
      </c>
      <c r="D13" s="66">
        <f t="shared" ref="D13" si="0">SUM(D7:D12)</f>
        <v>5882000</v>
      </c>
    </row>
  </sheetData>
  <mergeCells count="4">
    <mergeCell ref="C2:D2"/>
    <mergeCell ref="C1:D1"/>
    <mergeCell ref="B4:D4"/>
    <mergeCell ref="C3:D3"/>
  </mergeCells>
  <pageMargins left="0.9055118110236221" right="0.51181102362204722" top="0.74803149606299213" bottom="0.74803149606299213"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J23" sqref="J23"/>
    </sheetView>
  </sheetViews>
  <sheetFormatPr defaultRowHeight="15" x14ac:dyDescent="0.25"/>
  <cols>
    <col min="1" max="1" width="4" customWidth="1"/>
    <col min="2" max="2" width="41.7109375" customWidth="1"/>
    <col min="3" max="4" width="17" hidden="1" customWidth="1"/>
    <col min="5" max="5" width="17" customWidth="1"/>
    <col min="6" max="7" width="17" hidden="1" customWidth="1"/>
    <col min="8" max="8" width="17" customWidth="1"/>
    <col min="10" max="10" width="13.85546875" customWidth="1"/>
  </cols>
  <sheetData>
    <row r="1" spans="1:10" s="54" customFormat="1" ht="12" customHeight="1" x14ac:dyDescent="0.2">
      <c r="A1" s="51"/>
      <c r="B1" s="52"/>
      <c r="D1" s="188"/>
      <c r="E1" s="609" t="s">
        <v>720</v>
      </c>
      <c r="F1" s="609"/>
      <c r="G1" s="609"/>
      <c r="H1" s="609"/>
    </row>
    <row r="2" spans="1:10" s="54" customFormat="1" ht="72" customHeight="1" x14ac:dyDescent="0.2">
      <c r="A2" s="51"/>
      <c r="B2" s="52"/>
      <c r="D2" s="174"/>
      <c r="E2" s="608" t="s">
        <v>593</v>
      </c>
      <c r="F2" s="608"/>
      <c r="G2" s="608"/>
      <c r="H2" s="608"/>
    </row>
    <row r="3" spans="1:10" s="54" customFormat="1" ht="17.25" customHeight="1" x14ac:dyDescent="0.2">
      <c r="A3" s="51"/>
      <c r="B3" s="52"/>
      <c r="D3" s="225"/>
      <c r="E3" s="598" t="s">
        <v>552</v>
      </c>
      <c r="F3" s="598"/>
      <c r="G3" s="598"/>
      <c r="H3" s="598"/>
    </row>
    <row r="5" spans="1:10" s="71" customFormat="1" ht="84" customHeight="1" x14ac:dyDescent="0.25">
      <c r="A5" s="69"/>
      <c r="B5" s="606" t="s">
        <v>702</v>
      </c>
      <c r="C5" s="606"/>
      <c r="D5" s="606"/>
      <c r="E5" s="606"/>
      <c r="F5" s="606"/>
      <c r="G5" s="606"/>
      <c r="H5" s="606"/>
    </row>
    <row r="7" spans="1:10" s="54" customFormat="1" x14ac:dyDescent="0.2">
      <c r="A7" s="51"/>
      <c r="B7" s="57"/>
      <c r="C7" s="57"/>
      <c r="D7" s="57"/>
      <c r="E7" s="57"/>
      <c r="F7" s="112" t="s">
        <v>330</v>
      </c>
      <c r="G7" s="52"/>
    </row>
    <row r="8" spans="1:10" s="60" customFormat="1" ht="36" customHeight="1" x14ac:dyDescent="0.25">
      <c r="A8" s="101" t="s">
        <v>186</v>
      </c>
      <c r="B8" s="101" t="s">
        <v>187</v>
      </c>
      <c r="C8" s="101" t="s">
        <v>329</v>
      </c>
      <c r="D8" s="289" t="s">
        <v>826</v>
      </c>
      <c r="E8" s="289" t="s">
        <v>841</v>
      </c>
      <c r="F8" s="101" t="s">
        <v>703</v>
      </c>
      <c r="G8" s="289" t="s">
        <v>826</v>
      </c>
      <c r="H8" s="289" t="s">
        <v>842</v>
      </c>
    </row>
    <row r="9" spans="1:10" s="452" customFormat="1" ht="41.25" customHeight="1" x14ac:dyDescent="0.25">
      <c r="A9" s="449">
        <v>1</v>
      </c>
      <c r="B9" s="450" t="s">
        <v>189</v>
      </c>
      <c r="C9" s="451">
        <v>3468426</v>
      </c>
      <c r="D9" s="451">
        <v>-346843</v>
      </c>
      <c r="E9" s="451">
        <f>C9+D9</f>
        <v>3121583</v>
      </c>
      <c r="F9" s="451">
        <v>2538032</v>
      </c>
      <c r="G9" s="460">
        <v>-253803</v>
      </c>
      <c r="H9" s="457">
        <f>F9+G9</f>
        <v>2284229</v>
      </c>
      <c r="I9" s="458"/>
      <c r="J9" s="459"/>
    </row>
    <row r="10" spans="1:10" s="452" customFormat="1" ht="41.25" customHeight="1" x14ac:dyDescent="0.25">
      <c r="A10" s="449">
        <v>2</v>
      </c>
      <c r="B10" s="450" t="s">
        <v>190</v>
      </c>
      <c r="C10" s="451">
        <v>1675563</v>
      </c>
      <c r="D10" s="451">
        <v>-167556</v>
      </c>
      <c r="E10" s="451">
        <f t="shared" ref="E10:E14" si="0">C10+D10</f>
        <v>1508007</v>
      </c>
      <c r="F10" s="451">
        <v>1133803</v>
      </c>
      <c r="G10" s="460">
        <v>-113380</v>
      </c>
      <c r="H10" s="457">
        <f t="shared" ref="H10:H14" si="1">F10+G10</f>
        <v>1020423</v>
      </c>
      <c r="I10" s="458"/>
      <c r="J10" s="459"/>
    </row>
    <row r="11" spans="1:10" s="452" customFormat="1" ht="41.25" customHeight="1" x14ac:dyDescent="0.25">
      <c r="A11" s="449">
        <v>3</v>
      </c>
      <c r="B11" s="450" t="s">
        <v>191</v>
      </c>
      <c r="C11" s="451">
        <v>2270366</v>
      </c>
      <c r="D11" s="451">
        <v>-227037</v>
      </c>
      <c r="E11" s="451">
        <f t="shared" si="0"/>
        <v>2043329</v>
      </c>
      <c r="F11" s="451">
        <v>1539426</v>
      </c>
      <c r="G11" s="460">
        <v>-153943</v>
      </c>
      <c r="H11" s="457">
        <f t="shared" si="1"/>
        <v>1385483</v>
      </c>
      <c r="I11" s="458"/>
      <c r="J11" s="459"/>
    </row>
    <row r="12" spans="1:10" s="452" customFormat="1" ht="41.25" customHeight="1" x14ac:dyDescent="0.25">
      <c r="A12" s="449">
        <v>4</v>
      </c>
      <c r="B12" s="450" t="s">
        <v>192</v>
      </c>
      <c r="C12" s="451">
        <v>1819829</v>
      </c>
      <c r="D12" s="451">
        <v>-181983</v>
      </c>
      <c r="E12" s="451">
        <f t="shared" si="0"/>
        <v>1637846</v>
      </c>
      <c r="F12" s="451">
        <v>1210985</v>
      </c>
      <c r="G12" s="460">
        <v>-121099</v>
      </c>
      <c r="H12" s="457">
        <f t="shared" si="1"/>
        <v>1089886</v>
      </c>
      <c r="I12" s="458"/>
      <c r="J12" s="459"/>
    </row>
    <row r="13" spans="1:10" s="452" customFormat="1" ht="41.25" customHeight="1" x14ac:dyDescent="0.25">
      <c r="A13" s="449">
        <v>5</v>
      </c>
      <c r="B13" s="450" t="s">
        <v>193</v>
      </c>
      <c r="C13" s="451">
        <v>1658148</v>
      </c>
      <c r="D13" s="451">
        <v>-165815</v>
      </c>
      <c r="E13" s="451">
        <f t="shared" si="0"/>
        <v>1492333</v>
      </c>
      <c r="F13" s="451">
        <v>1120902</v>
      </c>
      <c r="G13" s="460">
        <v>-112090</v>
      </c>
      <c r="H13" s="457">
        <f t="shared" si="1"/>
        <v>1008812</v>
      </c>
      <c r="I13" s="458"/>
      <c r="J13" s="459"/>
    </row>
    <row r="14" spans="1:10" s="452" customFormat="1" ht="41.25" customHeight="1" x14ac:dyDescent="0.25">
      <c r="A14" s="449">
        <v>6</v>
      </c>
      <c r="B14" s="450" t="s">
        <v>194</v>
      </c>
      <c r="C14" s="451">
        <v>1896668</v>
      </c>
      <c r="D14" s="451">
        <v>-189666</v>
      </c>
      <c r="E14" s="451">
        <f t="shared" si="0"/>
        <v>1707002</v>
      </c>
      <c r="F14" s="451">
        <v>1295852</v>
      </c>
      <c r="G14" s="460">
        <v>-129585</v>
      </c>
      <c r="H14" s="457">
        <f t="shared" si="1"/>
        <v>1166267</v>
      </c>
      <c r="I14" s="458"/>
      <c r="J14" s="459"/>
    </row>
    <row r="15" spans="1:10" s="456" customFormat="1" ht="41.25" customHeight="1" x14ac:dyDescent="0.25">
      <c r="A15" s="453"/>
      <c r="B15" s="454" t="s">
        <v>10</v>
      </c>
      <c r="C15" s="455">
        <f>SUM(C9:C14)</f>
        <v>12789000</v>
      </c>
      <c r="D15" s="455">
        <f t="shared" ref="D15:E15" si="2">SUM(D9:D14)</f>
        <v>-1278900</v>
      </c>
      <c r="E15" s="455">
        <f t="shared" si="2"/>
        <v>11510100</v>
      </c>
      <c r="F15" s="455">
        <f>SUM(F9:F14)</f>
        <v>8839000</v>
      </c>
      <c r="G15" s="455">
        <f t="shared" ref="G15:H15" si="3">SUM(G9:G14)</f>
        <v>-883900</v>
      </c>
      <c r="H15" s="455">
        <f t="shared" si="3"/>
        <v>7955100</v>
      </c>
    </row>
  </sheetData>
  <mergeCells count="4">
    <mergeCell ref="B5:H5"/>
    <mergeCell ref="E3:H3"/>
    <mergeCell ref="E2:H2"/>
    <mergeCell ref="E1:H1"/>
  </mergeCells>
  <pageMargins left="0.9055118110236221" right="0.70866141732283472" top="0.74803149606299213" bottom="0.74803149606299213" header="0.31496062992125984" footer="0.31496062992125984"/>
  <pageSetup paperSize="9"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workbookViewId="0">
      <selection activeCell="I8" sqref="I8"/>
    </sheetView>
  </sheetViews>
  <sheetFormatPr defaultRowHeight="12.75" x14ac:dyDescent="0.2"/>
  <cols>
    <col min="1" max="1" width="4.140625" style="54" customWidth="1"/>
    <col min="2" max="2" width="58.85546875" style="54" customWidth="1"/>
    <col min="3" max="4" width="20.42578125" style="54" customWidth="1"/>
    <col min="5"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5" x14ac:dyDescent="0.2">
      <c r="A1" s="51"/>
      <c r="B1" s="52"/>
      <c r="C1" s="609" t="s">
        <v>720</v>
      </c>
      <c r="D1" s="609"/>
      <c r="E1" s="52"/>
    </row>
    <row r="2" spans="1:5" ht="51.75" customHeight="1" x14ac:dyDescent="0.2">
      <c r="A2" s="51"/>
      <c r="B2" s="52"/>
      <c r="C2" s="608" t="s">
        <v>593</v>
      </c>
      <c r="D2" s="608"/>
      <c r="E2" s="52"/>
    </row>
    <row r="3" spans="1:5" x14ac:dyDescent="0.2">
      <c r="A3" s="51"/>
      <c r="B3" s="52"/>
      <c r="C3" s="598" t="s">
        <v>553</v>
      </c>
      <c r="D3" s="598"/>
      <c r="E3" s="52"/>
    </row>
    <row r="4" spans="1:5" x14ac:dyDescent="0.2">
      <c r="A4" s="51"/>
      <c r="B4" s="52"/>
      <c r="C4" s="56"/>
      <c r="D4" s="52"/>
      <c r="E4" s="52"/>
    </row>
    <row r="5" spans="1:5" s="71" customFormat="1" ht="102.75" customHeight="1" x14ac:dyDescent="0.25">
      <c r="A5" s="69"/>
      <c r="B5" s="606" t="s">
        <v>701</v>
      </c>
      <c r="C5" s="606"/>
      <c r="D5" s="606"/>
      <c r="E5" s="70"/>
    </row>
    <row r="6" spans="1:5" ht="15" x14ac:dyDescent="0.2">
      <c r="A6" s="51"/>
      <c r="B6" s="57"/>
      <c r="C6" s="57"/>
      <c r="D6" s="52" t="s">
        <v>330</v>
      </c>
      <c r="E6" s="52"/>
    </row>
    <row r="7" spans="1:5" s="60" customFormat="1" ht="27.75" customHeight="1" x14ac:dyDescent="0.25">
      <c r="A7" s="101" t="s">
        <v>186</v>
      </c>
      <c r="B7" s="101" t="s">
        <v>187</v>
      </c>
      <c r="C7" s="266" t="s">
        <v>329</v>
      </c>
      <c r="D7" s="266" t="s">
        <v>703</v>
      </c>
      <c r="E7" s="59"/>
    </row>
    <row r="8" spans="1:5" s="106" customFormat="1" ht="41.25" customHeight="1" x14ac:dyDescent="0.25">
      <c r="A8" s="102">
        <v>1</v>
      </c>
      <c r="B8" s="103" t="s">
        <v>189</v>
      </c>
      <c r="C8" s="104">
        <f>'10.3 Ком.15'!C9</f>
        <v>66780</v>
      </c>
      <c r="D8" s="104">
        <f>C8</f>
        <v>66780</v>
      </c>
      <c r="E8" s="105"/>
    </row>
    <row r="9" spans="1:5" s="106" customFormat="1" ht="41.25" customHeight="1" x14ac:dyDescent="0.25">
      <c r="A9" s="102">
        <v>2</v>
      </c>
      <c r="B9" s="103" t="s">
        <v>190</v>
      </c>
      <c r="C9" s="104">
        <f>'10.3 Ком.15'!C10</f>
        <v>6360</v>
      </c>
      <c r="D9" s="104">
        <f t="shared" ref="D9:D13" si="0">C9</f>
        <v>6360</v>
      </c>
      <c r="E9" s="105"/>
    </row>
    <row r="10" spans="1:5" s="106" customFormat="1" ht="41.25" customHeight="1" x14ac:dyDescent="0.25">
      <c r="A10" s="102">
        <v>3</v>
      </c>
      <c r="B10" s="103" t="s">
        <v>191</v>
      </c>
      <c r="C10" s="104">
        <f>'10.3 Ком.15'!C11</f>
        <v>3180</v>
      </c>
      <c r="D10" s="104">
        <f t="shared" si="0"/>
        <v>3180</v>
      </c>
      <c r="E10" s="105"/>
    </row>
    <row r="11" spans="1:5" s="106" customFormat="1" ht="41.25" customHeight="1" x14ac:dyDescent="0.25">
      <c r="A11" s="102">
        <v>4</v>
      </c>
      <c r="B11" s="103" t="s">
        <v>192</v>
      </c>
      <c r="C11" s="104">
        <f>'10.3 Ком.15'!C12</f>
        <v>9540</v>
      </c>
      <c r="D11" s="104">
        <f t="shared" si="0"/>
        <v>9540</v>
      </c>
      <c r="E11" s="105"/>
    </row>
    <row r="12" spans="1:5" s="106" customFormat="1" ht="41.25" customHeight="1" x14ac:dyDescent="0.25">
      <c r="A12" s="102">
        <v>5</v>
      </c>
      <c r="B12" s="103" t="s">
        <v>193</v>
      </c>
      <c r="C12" s="104">
        <f>'10.3 Ком.15'!C13</f>
        <v>3180</v>
      </c>
      <c r="D12" s="104">
        <f t="shared" si="0"/>
        <v>3180</v>
      </c>
      <c r="E12" s="105"/>
    </row>
    <row r="13" spans="1:5" s="106" customFormat="1" ht="41.25" customHeight="1" x14ac:dyDescent="0.25">
      <c r="A13" s="102">
        <v>6</v>
      </c>
      <c r="B13" s="103" t="s">
        <v>194</v>
      </c>
      <c r="C13" s="104">
        <f>'10.3 Ком.15'!C14</f>
        <v>6360</v>
      </c>
      <c r="D13" s="104">
        <f t="shared" si="0"/>
        <v>6360</v>
      </c>
      <c r="E13" s="105"/>
    </row>
    <row r="14" spans="1:5" s="111" customFormat="1" ht="41.25" customHeight="1" x14ac:dyDescent="0.25">
      <c r="A14" s="107"/>
      <c r="B14" s="108" t="s">
        <v>10</v>
      </c>
      <c r="C14" s="109">
        <f>SUM(C8:C13)</f>
        <v>95400</v>
      </c>
      <c r="D14" s="109">
        <f>SUM(D8:D13)</f>
        <v>95400</v>
      </c>
      <c r="E14" s="110"/>
    </row>
  </sheetData>
  <mergeCells count="4">
    <mergeCell ref="C2:D2"/>
    <mergeCell ref="C1:D1"/>
    <mergeCell ref="B5:D5"/>
    <mergeCell ref="C3:D3"/>
  </mergeCells>
  <pageMargins left="0.70866141732283472" right="0.51181102362204722" top="0.74803149606299213" bottom="0.74803149606299213"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11" sqref="C11"/>
    </sheetView>
  </sheetViews>
  <sheetFormatPr defaultRowHeight="12.75" x14ac:dyDescent="0.2"/>
  <cols>
    <col min="1" max="1" width="4.140625" style="54" customWidth="1"/>
    <col min="2" max="2" width="52.5703125" style="54" customWidth="1"/>
    <col min="3" max="4" width="20.85546875" style="54" customWidth="1"/>
    <col min="5" max="5" width="9.140625" style="54"/>
    <col min="6" max="6" width="9.140625" style="54" customWidth="1"/>
    <col min="7"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5" x14ac:dyDescent="0.2">
      <c r="A1" s="51"/>
      <c r="B1" s="52"/>
      <c r="C1" s="609" t="s">
        <v>720</v>
      </c>
      <c r="D1" s="609"/>
      <c r="E1" s="52"/>
    </row>
    <row r="2" spans="1:5" ht="51.75" customHeight="1" x14ac:dyDescent="0.2">
      <c r="A2" s="51"/>
      <c r="B2" s="52"/>
      <c r="C2" s="608" t="s">
        <v>593</v>
      </c>
      <c r="D2" s="608"/>
      <c r="E2" s="52"/>
    </row>
    <row r="3" spans="1:5" x14ac:dyDescent="0.2">
      <c r="A3" s="51"/>
      <c r="B3" s="52"/>
      <c r="C3" s="598" t="s">
        <v>554</v>
      </c>
      <c r="D3" s="598"/>
      <c r="E3" s="52"/>
    </row>
    <row r="4" spans="1:5" x14ac:dyDescent="0.2">
      <c r="A4" s="51"/>
      <c r="B4" s="52"/>
      <c r="C4" s="56"/>
      <c r="D4" s="52"/>
      <c r="E4" s="52"/>
    </row>
    <row r="5" spans="1:5" s="71" customFormat="1" ht="102.75" customHeight="1" x14ac:dyDescent="0.25">
      <c r="A5" s="69"/>
      <c r="B5" s="606" t="s">
        <v>700</v>
      </c>
      <c r="C5" s="606"/>
      <c r="D5" s="606"/>
      <c r="E5" s="70"/>
    </row>
    <row r="6" spans="1:5" ht="15" x14ac:dyDescent="0.2">
      <c r="A6" s="51"/>
      <c r="B6" s="57"/>
      <c r="C6" s="57"/>
      <c r="D6" s="52" t="s">
        <v>330</v>
      </c>
      <c r="E6" s="52"/>
    </row>
    <row r="7" spans="1:5" s="60" customFormat="1" ht="28.5" customHeight="1" x14ac:dyDescent="0.25">
      <c r="A7" s="101" t="s">
        <v>186</v>
      </c>
      <c r="B7" s="101" t="s">
        <v>187</v>
      </c>
      <c r="C7" s="266" t="s">
        <v>329</v>
      </c>
      <c r="D7" s="266" t="s">
        <v>703</v>
      </c>
      <c r="E7" s="59"/>
    </row>
    <row r="8" spans="1:5" s="106" customFormat="1" ht="41.25" customHeight="1" x14ac:dyDescent="0.25">
      <c r="A8" s="102">
        <v>1</v>
      </c>
      <c r="B8" s="103" t="s">
        <v>189</v>
      </c>
      <c r="C8" s="104">
        <v>434142</v>
      </c>
      <c r="D8" s="104">
        <v>414947</v>
      </c>
      <c r="E8" s="105"/>
    </row>
    <row r="9" spans="1:5" s="106" customFormat="1" ht="41.25" customHeight="1" x14ac:dyDescent="0.25">
      <c r="A9" s="102">
        <v>2</v>
      </c>
      <c r="B9" s="103" t="s">
        <v>190</v>
      </c>
      <c r="C9" s="104">
        <v>57886</v>
      </c>
      <c r="D9" s="104">
        <v>55326</v>
      </c>
      <c r="E9" s="105"/>
    </row>
    <row r="10" spans="1:5" s="106" customFormat="1" ht="41.25" customHeight="1" x14ac:dyDescent="0.25">
      <c r="A10" s="102">
        <v>3</v>
      </c>
      <c r="B10" s="103" t="s">
        <v>191</v>
      </c>
      <c r="C10" s="104">
        <v>57886</v>
      </c>
      <c r="D10" s="104">
        <v>55326</v>
      </c>
      <c r="E10" s="105"/>
    </row>
    <row r="11" spans="1:5" s="106" customFormat="1" ht="41.25" customHeight="1" x14ac:dyDescent="0.25">
      <c r="A11" s="102">
        <v>4</v>
      </c>
      <c r="B11" s="103" t="s">
        <v>192</v>
      </c>
      <c r="C11" s="104">
        <v>144713</v>
      </c>
      <c r="D11" s="104">
        <v>138316</v>
      </c>
      <c r="E11" s="105"/>
    </row>
    <row r="12" spans="1:5" s="106" customFormat="1" ht="41.25" customHeight="1" x14ac:dyDescent="0.25">
      <c r="A12" s="102">
        <v>5</v>
      </c>
      <c r="B12" s="103" t="s">
        <v>193</v>
      </c>
      <c r="C12" s="104">
        <v>57886</v>
      </c>
      <c r="D12" s="104">
        <v>55326</v>
      </c>
      <c r="E12" s="105"/>
    </row>
    <row r="13" spans="1:5" s="106" customFormat="1" ht="41.25" customHeight="1" x14ac:dyDescent="0.25">
      <c r="A13" s="102">
        <v>6</v>
      </c>
      <c r="B13" s="103" t="s">
        <v>194</v>
      </c>
      <c r="C13" s="104">
        <v>57886</v>
      </c>
      <c r="D13" s="104">
        <v>55326</v>
      </c>
      <c r="E13" s="105"/>
    </row>
    <row r="14" spans="1:5" s="111" customFormat="1" ht="41.25" customHeight="1" x14ac:dyDescent="0.25">
      <c r="A14" s="107"/>
      <c r="B14" s="108" t="s">
        <v>10</v>
      </c>
      <c r="C14" s="109">
        <f>SUM(C8:C13)</f>
        <v>810399</v>
      </c>
      <c r="D14" s="109">
        <f>SUM(D8:D13)</f>
        <v>774567</v>
      </c>
      <c r="E14" s="110"/>
    </row>
  </sheetData>
  <mergeCells count="4">
    <mergeCell ref="C2:D2"/>
    <mergeCell ref="C1:D1"/>
    <mergeCell ref="B5:D5"/>
    <mergeCell ref="C3:D3"/>
  </mergeCells>
  <pageMargins left="0.9055118110236221" right="0.51181102362204722" top="0.74803149606299213" bottom="0.74803149606299213" header="0.31496062992125984" footer="0.31496062992125984"/>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12" sqref="B12"/>
    </sheetView>
  </sheetViews>
  <sheetFormatPr defaultRowHeight="15" x14ac:dyDescent="0.25"/>
  <cols>
    <col min="1" max="1" width="6.5703125" customWidth="1"/>
    <col min="2" max="2" width="57.7109375" customWidth="1"/>
    <col min="3" max="4" width="16.85546875" customWidth="1"/>
  </cols>
  <sheetData>
    <row r="1" spans="1:13" s="147" customFormat="1" ht="22.5" customHeight="1" x14ac:dyDescent="0.2">
      <c r="C1" s="594" t="s">
        <v>748</v>
      </c>
      <c r="D1" s="594"/>
    </row>
    <row r="2" spans="1:13" s="147" customFormat="1" ht="59.25" customHeight="1" x14ac:dyDescent="0.2">
      <c r="C2" s="608" t="s">
        <v>593</v>
      </c>
      <c r="D2" s="608"/>
    </row>
    <row r="3" spans="1:13" s="147" customFormat="1" ht="11.25" x14ac:dyDescent="0.2">
      <c r="C3" s="598" t="s">
        <v>555</v>
      </c>
      <c r="D3" s="598"/>
    </row>
    <row r="4" spans="1:13" s="149" customFormat="1" ht="135" customHeight="1" x14ac:dyDescent="0.25">
      <c r="A4" s="150"/>
      <c r="B4" s="610" t="s">
        <v>699</v>
      </c>
      <c r="C4" s="610"/>
      <c r="D4" s="610"/>
      <c r="E4" s="151"/>
      <c r="F4" s="151"/>
      <c r="G4" s="151"/>
      <c r="H4" s="151"/>
      <c r="I4" s="151"/>
      <c r="J4" s="151"/>
      <c r="K4" s="152"/>
      <c r="L4" s="152"/>
      <c r="M4" s="152"/>
    </row>
    <row r="5" spans="1:13" s="149" customFormat="1" ht="36" customHeight="1" x14ac:dyDescent="0.25">
      <c r="A5" s="150"/>
      <c r="B5" s="153"/>
      <c r="C5" s="153"/>
      <c r="D5" s="153"/>
      <c r="E5" s="153"/>
      <c r="F5" s="153"/>
      <c r="G5" s="153"/>
      <c r="H5" s="153"/>
      <c r="I5" s="153"/>
      <c r="J5" s="154"/>
      <c r="K5" s="152"/>
      <c r="L5" s="152"/>
      <c r="M5" s="152"/>
    </row>
    <row r="6" spans="1:13" s="60" customFormat="1" ht="41.25" customHeight="1" x14ac:dyDescent="0.25">
      <c r="A6" s="266" t="s">
        <v>186</v>
      </c>
      <c r="B6" s="283" t="s">
        <v>187</v>
      </c>
      <c r="C6" s="266" t="s">
        <v>329</v>
      </c>
      <c r="D6" s="266" t="s">
        <v>703</v>
      </c>
      <c r="E6" s="59"/>
    </row>
    <row r="7" spans="1:13" s="149" customFormat="1" ht="30.75" customHeight="1" x14ac:dyDescent="0.2">
      <c r="A7" s="61">
        <v>1</v>
      </c>
      <c r="B7" s="62" t="s">
        <v>189</v>
      </c>
      <c r="C7" s="63">
        <v>200</v>
      </c>
      <c r="D7" s="63">
        <v>200</v>
      </c>
      <c r="E7" s="152"/>
    </row>
    <row r="8" spans="1:13" s="68" customFormat="1" ht="30.75" customHeight="1" x14ac:dyDescent="0.25">
      <c r="A8" s="64"/>
      <c r="B8" s="65" t="s">
        <v>10</v>
      </c>
      <c r="C8" s="66">
        <f>SUM(C7:C7)</f>
        <v>200</v>
      </c>
      <c r="D8" s="66">
        <f>SUM(D7:D7)</f>
        <v>200</v>
      </c>
      <c r="E8" s="67"/>
    </row>
    <row r="9" spans="1:13" s="149" customFormat="1" ht="15.75" x14ac:dyDescent="0.25">
      <c r="A9" s="155"/>
      <c r="B9" s="155"/>
      <c r="C9" s="156"/>
      <c r="D9" s="156"/>
      <c r="E9" s="156"/>
      <c r="F9" s="156"/>
      <c r="G9" s="156"/>
      <c r="H9" s="156"/>
      <c r="I9" s="156"/>
      <c r="J9" s="152"/>
      <c r="K9" s="152"/>
      <c r="L9" s="152"/>
      <c r="M9" s="152"/>
    </row>
  </sheetData>
  <mergeCells count="4">
    <mergeCell ref="C3:D3"/>
    <mergeCell ref="C2:D2"/>
    <mergeCell ref="C1:D1"/>
    <mergeCell ref="B4:D4"/>
  </mergeCells>
  <pageMargins left="0.9055118110236221" right="0.70866141732283472" top="0.74803149606299213" bottom="0.74803149606299213" header="0.31496062992125984" footer="0.31496062992125984"/>
  <pageSetup paperSize="9" scale="8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5"/>
  <sheetViews>
    <sheetView workbookViewId="0">
      <selection activeCell="I1" sqref="I1"/>
    </sheetView>
  </sheetViews>
  <sheetFormatPr defaultRowHeight="12.75" x14ac:dyDescent="0.25"/>
  <cols>
    <col min="1" max="1" width="26.140625" style="199" customWidth="1"/>
    <col min="2" max="2" width="21.42578125" style="199" customWidth="1"/>
    <col min="3" max="3" width="16.28515625" style="199" customWidth="1"/>
    <col min="4" max="7" width="16.140625" style="199" hidden="1" customWidth="1"/>
    <col min="8" max="8" width="18.5703125" style="199" customWidth="1"/>
    <col min="9" max="236" width="9.140625" style="199"/>
    <col min="237" max="237" width="26" style="199" customWidth="1"/>
    <col min="238" max="238" width="17.140625" style="199" customWidth="1"/>
    <col min="239" max="239" width="47.42578125" style="199" customWidth="1"/>
    <col min="240" max="240" width="15.5703125" style="199" customWidth="1"/>
    <col min="241" max="241" width="12.7109375" style="199" customWidth="1"/>
    <col min="242" max="492" width="9.140625" style="199"/>
    <col min="493" max="493" width="26" style="199" customWidth="1"/>
    <col min="494" max="494" width="17.140625" style="199" customWidth="1"/>
    <col min="495" max="495" width="47.42578125" style="199" customWidth="1"/>
    <col min="496" max="496" width="15.5703125" style="199" customWidth="1"/>
    <col min="497" max="497" width="12.7109375" style="199" customWidth="1"/>
    <col min="498" max="748" width="9.140625" style="199"/>
    <col min="749" max="749" width="26" style="199" customWidth="1"/>
    <col min="750" max="750" width="17.140625" style="199" customWidth="1"/>
    <col min="751" max="751" width="47.42578125" style="199" customWidth="1"/>
    <col min="752" max="752" width="15.5703125" style="199" customWidth="1"/>
    <col min="753" max="753" width="12.7109375" style="199" customWidth="1"/>
    <col min="754" max="1004" width="9.140625" style="199"/>
    <col min="1005" max="1005" width="26" style="199" customWidth="1"/>
    <col min="1006" max="1006" width="17.140625" style="199" customWidth="1"/>
    <col min="1007" max="1007" width="47.42578125" style="199" customWidth="1"/>
    <col min="1008" max="1008" width="15.5703125" style="199" customWidth="1"/>
    <col min="1009" max="1009" width="12.7109375" style="199" customWidth="1"/>
    <col min="1010" max="1260" width="9.140625" style="199"/>
    <col min="1261" max="1261" width="26" style="199" customWidth="1"/>
    <col min="1262" max="1262" width="17.140625" style="199" customWidth="1"/>
    <col min="1263" max="1263" width="47.42578125" style="199" customWidth="1"/>
    <col min="1264" max="1264" width="15.5703125" style="199" customWidth="1"/>
    <col min="1265" max="1265" width="12.7109375" style="199" customWidth="1"/>
    <col min="1266" max="1516" width="9.140625" style="199"/>
    <col min="1517" max="1517" width="26" style="199" customWidth="1"/>
    <col min="1518" max="1518" width="17.140625" style="199" customWidth="1"/>
    <col min="1519" max="1519" width="47.42578125" style="199" customWidth="1"/>
    <col min="1520" max="1520" width="15.5703125" style="199" customWidth="1"/>
    <col min="1521" max="1521" width="12.7109375" style="199" customWidth="1"/>
    <col min="1522" max="1772" width="9.140625" style="199"/>
    <col min="1773" max="1773" width="26" style="199" customWidth="1"/>
    <col min="1774" max="1774" width="17.140625" style="199" customWidth="1"/>
    <col min="1775" max="1775" width="47.42578125" style="199" customWidth="1"/>
    <col min="1776" max="1776" width="15.5703125" style="199" customWidth="1"/>
    <col min="1777" max="1777" width="12.7109375" style="199" customWidth="1"/>
    <col min="1778" max="2028" width="9.140625" style="199"/>
    <col min="2029" max="2029" width="26" style="199" customWidth="1"/>
    <col min="2030" max="2030" width="17.140625" style="199" customWidth="1"/>
    <col min="2031" max="2031" width="47.42578125" style="199" customWidth="1"/>
    <col min="2032" max="2032" width="15.5703125" style="199" customWidth="1"/>
    <col min="2033" max="2033" width="12.7109375" style="199" customWidth="1"/>
    <col min="2034" max="2284" width="9.140625" style="199"/>
    <col min="2285" max="2285" width="26" style="199" customWidth="1"/>
    <col min="2286" max="2286" width="17.140625" style="199" customWidth="1"/>
    <col min="2287" max="2287" width="47.42578125" style="199" customWidth="1"/>
    <col min="2288" max="2288" width="15.5703125" style="199" customWidth="1"/>
    <col min="2289" max="2289" width="12.7109375" style="199" customWidth="1"/>
    <col min="2290" max="2540" width="9.140625" style="199"/>
    <col min="2541" max="2541" width="26" style="199" customWidth="1"/>
    <col min="2542" max="2542" width="17.140625" style="199" customWidth="1"/>
    <col min="2543" max="2543" width="47.42578125" style="199" customWidth="1"/>
    <col min="2544" max="2544" width="15.5703125" style="199" customWidth="1"/>
    <col min="2545" max="2545" width="12.7109375" style="199" customWidth="1"/>
    <col min="2546" max="2796" width="9.140625" style="199"/>
    <col min="2797" max="2797" width="26" style="199" customWidth="1"/>
    <col min="2798" max="2798" width="17.140625" style="199" customWidth="1"/>
    <col min="2799" max="2799" width="47.42578125" style="199" customWidth="1"/>
    <col min="2800" max="2800" width="15.5703125" style="199" customWidth="1"/>
    <col min="2801" max="2801" width="12.7109375" style="199" customWidth="1"/>
    <col min="2802" max="3052" width="9.140625" style="199"/>
    <col min="3053" max="3053" width="26" style="199" customWidth="1"/>
    <col min="3054" max="3054" width="17.140625" style="199" customWidth="1"/>
    <col min="3055" max="3055" width="47.42578125" style="199" customWidth="1"/>
    <col min="3056" max="3056" width="15.5703125" style="199" customWidth="1"/>
    <col min="3057" max="3057" width="12.7109375" style="199" customWidth="1"/>
    <col min="3058" max="3308" width="9.140625" style="199"/>
    <col min="3309" max="3309" width="26" style="199" customWidth="1"/>
    <col min="3310" max="3310" width="17.140625" style="199" customWidth="1"/>
    <col min="3311" max="3311" width="47.42578125" style="199" customWidth="1"/>
    <col min="3312" max="3312" width="15.5703125" style="199" customWidth="1"/>
    <col min="3313" max="3313" width="12.7109375" style="199" customWidth="1"/>
    <col min="3314" max="3564" width="9.140625" style="199"/>
    <col min="3565" max="3565" width="26" style="199" customWidth="1"/>
    <col min="3566" max="3566" width="17.140625" style="199" customWidth="1"/>
    <col min="3567" max="3567" width="47.42578125" style="199" customWidth="1"/>
    <col min="3568" max="3568" width="15.5703125" style="199" customWidth="1"/>
    <col min="3569" max="3569" width="12.7109375" style="199" customWidth="1"/>
    <col min="3570" max="3820" width="9.140625" style="199"/>
    <col min="3821" max="3821" width="26" style="199" customWidth="1"/>
    <col min="3822" max="3822" width="17.140625" style="199" customWidth="1"/>
    <col min="3823" max="3823" width="47.42578125" style="199" customWidth="1"/>
    <col min="3824" max="3824" width="15.5703125" style="199" customWidth="1"/>
    <col min="3825" max="3825" width="12.7109375" style="199" customWidth="1"/>
    <col min="3826" max="4076" width="9.140625" style="199"/>
    <col min="4077" max="4077" width="26" style="199" customWidth="1"/>
    <col min="4078" max="4078" width="17.140625" style="199" customWidth="1"/>
    <col min="4079" max="4079" width="47.42578125" style="199" customWidth="1"/>
    <col min="4080" max="4080" width="15.5703125" style="199" customWidth="1"/>
    <col min="4081" max="4081" width="12.7109375" style="199" customWidth="1"/>
    <col min="4082" max="4332" width="9.140625" style="199"/>
    <col min="4333" max="4333" width="26" style="199" customWidth="1"/>
    <col min="4334" max="4334" width="17.140625" style="199" customWidth="1"/>
    <col min="4335" max="4335" width="47.42578125" style="199" customWidth="1"/>
    <col min="4336" max="4336" width="15.5703125" style="199" customWidth="1"/>
    <col min="4337" max="4337" width="12.7109375" style="199" customWidth="1"/>
    <col min="4338" max="4588" width="9.140625" style="199"/>
    <col min="4589" max="4589" width="26" style="199" customWidth="1"/>
    <col min="4590" max="4590" width="17.140625" style="199" customWidth="1"/>
    <col min="4591" max="4591" width="47.42578125" style="199" customWidth="1"/>
    <col min="4592" max="4592" width="15.5703125" style="199" customWidth="1"/>
    <col min="4593" max="4593" width="12.7109375" style="199" customWidth="1"/>
    <col min="4594" max="4844" width="9.140625" style="199"/>
    <col min="4845" max="4845" width="26" style="199" customWidth="1"/>
    <col min="4846" max="4846" width="17.140625" style="199" customWidth="1"/>
    <col min="4847" max="4847" width="47.42578125" style="199" customWidth="1"/>
    <col min="4848" max="4848" width="15.5703125" style="199" customWidth="1"/>
    <col min="4849" max="4849" width="12.7109375" style="199" customWidth="1"/>
    <col min="4850" max="5100" width="9.140625" style="199"/>
    <col min="5101" max="5101" width="26" style="199" customWidth="1"/>
    <col min="5102" max="5102" width="17.140625" style="199" customWidth="1"/>
    <col min="5103" max="5103" width="47.42578125" style="199" customWidth="1"/>
    <col min="5104" max="5104" width="15.5703125" style="199" customWidth="1"/>
    <col min="5105" max="5105" width="12.7109375" style="199" customWidth="1"/>
    <col min="5106" max="5356" width="9.140625" style="199"/>
    <col min="5357" max="5357" width="26" style="199" customWidth="1"/>
    <col min="5358" max="5358" width="17.140625" style="199" customWidth="1"/>
    <col min="5359" max="5359" width="47.42578125" style="199" customWidth="1"/>
    <col min="5360" max="5360" width="15.5703125" style="199" customWidth="1"/>
    <col min="5361" max="5361" width="12.7109375" style="199" customWidth="1"/>
    <col min="5362" max="5612" width="9.140625" style="199"/>
    <col min="5613" max="5613" width="26" style="199" customWidth="1"/>
    <col min="5614" max="5614" width="17.140625" style="199" customWidth="1"/>
    <col min="5615" max="5615" width="47.42578125" style="199" customWidth="1"/>
    <col min="5616" max="5616" width="15.5703125" style="199" customWidth="1"/>
    <col min="5617" max="5617" width="12.7109375" style="199" customWidth="1"/>
    <col min="5618" max="5868" width="9.140625" style="199"/>
    <col min="5869" max="5869" width="26" style="199" customWidth="1"/>
    <col min="5870" max="5870" width="17.140625" style="199" customWidth="1"/>
    <col min="5871" max="5871" width="47.42578125" style="199" customWidth="1"/>
    <col min="5872" max="5872" width="15.5703125" style="199" customWidth="1"/>
    <col min="5873" max="5873" width="12.7109375" style="199" customWidth="1"/>
    <col min="5874" max="6124" width="9.140625" style="199"/>
    <col min="6125" max="6125" width="26" style="199" customWidth="1"/>
    <col min="6126" max="6126" width="17.140625" style="199" customWidth="1"/>
    <col min="6127" max="6127" width="47.42578125" style="199" customWidth="1"/>
    <col min="6128" max="6128" width="15.5703125" style="199" customWidth="1"/>
    <col min="6129" max="6129" width="12.7109375" style="199" customWidth="1"/>
    <col min="6130" max="6380" width="9.140625" style="199"/>
    <col min="6381" max="6381" width="26" style="199" customWidth="1"/>
    <col min="6382" max="6382" width="17.140625" style="199" customWidth="1"/>
    <col min="6383" max="6383" width="47.42578125" style="199" customWidth="1"/>
    <col min="6384" max="6384" width="15.5703125" style="199" customWidth="1"/>
    <col min="6385" max="6385" width="12.7109375" style="199" customWidth="1"/>
    <col min="6386" max="6636" width="9.140625" style="199"/>
    <col min="6637" max="6637" width="26" style="199" customWidth="1"/>
    <col min="6638" max="6638" width="17.140625" style="199" customWidth="1"/>
    <col min="6639" max="6639" width="47.42578125" style="199" customWidth="1"/>
    <col min="6640" max="6640" width="15.5703125" style="199" customWidth="1"/>
    <col min="6641" max="6641" width="12.7109375" style="199" customWidth="1"/>
    <col min="6642" max="6892" width="9.140625" style="199"/>
    <col min="6893" max="6893" width="26" style="199" customWidth="1"/>
    <col min="6894" max="6894" width="17.140625" style="199" customWidth="1"/>
    <col min="6895" max="6895" width="47.42578125" style="199" customWidth="1"/>
    <col min="6896" max="6896" width="15.5703125" style="199" customWidth="1"/>
    <col min="6897" max="6897" width="12.7109375" style="199" customWidth="1"/>
    <col min="6898" max="7148" width="9.140625" style="199"/>
    <col min="7149" max="7149" width="26" style="199" customWidth="1"/>
    <col min="7150" max="7150" width="17.140625" style="199" customWidth="1"/>
    <col min="7151" max="7151" width="47.42578125" style="199" customWidth="1"/>
    <col min="7152" max="7152" width="15.5703125" style="199" customWidth="1"/>
    <col min="7153" max="7153" width="12.7109375" style="199" customWidth="1"/>
    <col min="7154" max="7404" width="9.140625" style="199"/>
    <col min="7405" max="7405" width="26" style="199" customWidth="1"/>
    <col min="7406" max="7406" width="17.140625" style="199" customWidth="1"/>
    <col min="7407" max="7407" width="47.42578125" style="199" customWidth="1"/>
    <col min="7408" max="7408" width="15.5703125" style="199" customWidth="1"/>
    <col min="7409" max="7409" width="12.7109375" style="199" customWidth="1"/>
    <col min="7410" max="7660" width="9.140625" style="199"/>
    <col min="7661" max="7661" width="26" style="199" customWidth="1"/>
    <col min="7662" max="7662" width="17.140625" style="199" customWidth="1"/>
    <col min="7663" max="7663" width="47.42578125" style="199" customWidth="1"/>
    <col min="7664" max="7664" width="15.5703125" style="199" customWidth="1"/>
    <col min="7665" max="7665" width="12.7109375" style="199" customWidth="1"/>
    <col min="7666" max="7916" width="9.140625" style="199"/>
    <col min="7917" max="7917" width="26" style="199" customWidth="1"/>
    <col min="7918" max="7918" width="17.140625" style="199" customWidth="1"/>
    <col min="7919" max="7919" width="47.42578125" style="199" customWidth="1"/>
    <col min="7920" max="7920" width="15.5703125" style="199" customWidth="1"/>
    <col min="7921" max="7921" width="12.7109375" style="199" customWidth="1"/>
    <col min="7922" max="8172" width="9.140625" style="199"/>
    <col min="8173" max="8173" width="26" style="199" customWidth="1"/>
    <col min="8174" max="8174" width="17.140625" style="199" customWidth="1"/>
    <col min="8175" max="8175" width="47.42578125" style="199" customWidth="1"/>
    <col min="8176" max="8176" width="15.5703125" style="199" customWidth="1"/>
    <col min="8177" max="8177" width="12.7109375" style="199" customWidth="1"/>
    <col min="8178" max="8428" width="9.140625" style="199"/>
    <col min="8429" max="8429" width="26" style="199" customWidth="1"/>
    <col min="8430" max="8430" width="17.140625" style="199" customWidth="1"/>
    <col min="8431" max="8431" width="47.42578125" style="199" customWidth="1"/>
    <col min="8432" max="8432" width="15.5703125" style="199" customWidth="1"/>
    <col min="8433" max="8433" width="12.7109375" style="199" customWidth="1"/>
    <col min="8434" max="8684" width="9.140625" style="199"/>
    <col min="8685" max="8685" width="26" style="199" customWidth="1"/>
    <col min="8686" max="8686" width="17.140625" style="199" customWidth="1"/>
    <col min="8687" max="8687" width="47.42578125" style="199" customWidth="1"/>
    <col min="8688" max="8688" width="15.5703125" style="199" customWidth="1"/>
    <col min="8689" max="8689" width="12.7109375" style="199" customWidth="1"/>
    <col min="8690" max="8940" width="9.140625" style="199"/>
    <col min="8941" max="8941" width="26" style="199" customWidth="1"/>
    <col min="8942" max="8942" width="17.140625" style="199" customWidth="1"/>
    <col min="8943" max="8943" width="47.42578125" style="199" customWidth="1"/>
    <col min="8944" max="8944" width="15.5703125" style="199" customWidth="1"/>
    <col min="8945" max="8945" width="12.7109375" style="199" customWidth="1"/>
    <col min="8946" max="9196" width="9.140625" style="199"/>
    <col min="9197" max="9197" width="26" style="199" customWidth="1"/>
    <col min="9198" max="9198" width="17.140625" style="199" customWidth="1"/>
    <col min="9199" max="9199" width="47.42578125" style="199" customWidth="1"/>
    <col min="9200" max="9200" width="15.5703125" style="199" customWidth="1"/>
    <col min="9201" max="9201" width="12.7109375" style="199" customWidth="1"/>
    <col min="9202" max="9452" width="9.140625" style="199"/>
    <col min="9453" max="9453" width="26" style="199" customWidth="1"/>
    <col min="9454" max="9454" width="17.140625" style="199" customWidth="1"/>
    <col min="9455" max="9455" width="47.42578125" style="199" customWidth="1"/>
    <col min="9456" max="9456" width="15.5703125" style="199" customWidth="1"/>
    <col min="9457" max="9457" width="12.7109375" style="199" customWidth="1"/>
    <col min="9458" max="9708" width="9.140625" style="199"/>
    <col min="9709" max="9709" width="26" style="199" customWidth="1"/>
    <col min="9710" max="9710" width="17.140625" style="199" customWidth="1"/>
    <col min="9711" max="9711" width="47.42578125" style="199" customWidth="1"/>
    <col min="9712" max="9712" width="15.5703125" style="199" customWidth="1"/>
    <col min="9713" max="9713" width="12.7109375" style="199" customWidth="1"/>
    <col min="9714" max="9964" width="9.140625" style="199"/>
    <col min="9965" max="9965" width="26" style="199" customWidth="1"/>
    <col min="9966" max="9966" width="17.140625" style="199" customWidth="1"/>
    <col min="9967" max="9967" width="47.42578125" style="199" customWidth="1"/>
    <col min="9968" max="9968" width="15.5703125" style="199" customWidth="1"/>
    <col min="9969" max="9969" width="12.7109375" style="199" customWidth="1"/>
    <col min="9970" max="10220" width="9.140625" style="199"/>
    <col min="10221" max="10221" width="26" style="199" customWidth="1"/>
    <col min="10222" max="10222" width="17.140625" style="199" customWidth="1"/>
    <col min="10223" max="10223" width="47.42578125" style="199" customWidth="1"/>
    <col min="10224" max="10224" width="15.5703125" style="199" customWidth="1"/>
    <col min="10225" max="10225" width="12.7109375" style="199" customWidth="1"/>
    <col min="10226" max="10476" width="9.140625" style="199"/>
    <col min="10477" max="10477" width="26" style="199" customWidth="1"/>
    <col min="10478" max="10478" width="17.140625" style="199" customWidth="1"/>
    <col min="10479" max="10479" width="47.42578125" style="199" customWidth="1"/>
    <col min="10480" max="10480" width="15.5703125" style="199" customWidth="1"/>
    <col min="10481" max="10481" width="12.7109375" style="199" customWidth="1"/>
    <col min="10482" max="10732" width="9.140625" style="199"/>
    <col min="10733" max="10733" width="26" style="199" customWidth="1"/>
    <col min="10734" max="10734" width="17.140625" style="199" customWidth="1"/>
    <col min="10735" max="10735" width="47.42578125" style="199" customWidth="1"/>
    <col min="10736" max="10736" width="15.5703125" style="199" customWidth="1"/>
    <col min="10737" max="10737" width="12.7109375" style="199" customWidth="1"/>
    <col min="10738" max="10988" width="9.140625" style="199"/>
    <col min="10989" max="10989" width="26" style="199" customWidth="1"/>
    <col min="10990" max="10990" width="17.140625" style="199" customWidth="1"/>
    <col min="10991" max="10991" width="47.42578125" style="199" customWidth="1"/>
    <col min="10992" max="10992" width="15.5703125" style="199" customWidth="1"/>
    <col min="10993" max="10993" width="12.7109375" style="199" customWidth="1"/>
    <col min="10994" max="11244" width="9.140625" style="199"/>
    <col min="11245" max="11245" width="26" style="199" customWidth="1"/>
    <col min="11246" max="11246" width="17.140625" style="199" customWidth="1"/>
    <col min="11247" max="11247" width="47.42578125" style="199" customWidth="1"/>
    <col min="11248" max="11248" width="15.5703125" style="199" customWidth="1"/>
    <col min="11249" max="11249" width="12.7109375" style="199" customWidth="1"/>
    <col min="11250" max="11500" width="9.140625" style="199"/>
    <col min="11501" max="11501" width="26" style="199" customWidth="1"/>
    <col min="11502" max="11502" width="17.140625" style="199" customWidth="1"/>
    <col min="11503" max="11503" width="47.42578125" style="199" customWidth="1"/>
    <col min="11504" max="11504" width="15.5703125" style="199" customWidth="1"/>
    <col min="11505" max="11505" width="12.7109375" style="199" customWidth="1"/>
    <col min="11506" max="11756" width="9.140625" style="199"/>
    <col min="11757" max="11757" width="26" style="199" customWidth="1"/>
    <col min="11758" max="11758" width="17.140625" style="199" customWidth="1"/>
    <col min="11759" max="11759" width="47.42578125" style="199" customWidth="1"/>
    <col min="11760" max="11760" width="15.5703125" style="199" customWidth="1"/>
    <col min="11761" max="11761" width="12.7109375" style="199" customWidth="1"/>
    <col min="11762" max="12012" width="9.140625" style="199"/>
    <col min="12013" max="12013" width="26" style="199" customWidth="1"/>
    <col min="12014" max="12014" width="17.140625" style="199" customWidth="1"/>
    <col min="12015" max="12015" width="47.42578125" style="199" customWidth="1"/>
    <col min="12016" max="12016" width="15.5703125" style="199" customWidth="1"/>
    <col min="12017" max="12017" width="12.7109375" style="199" customWidth="1"/>
    <col min="12018" max="12268" width="9.140625" style="199"/>
    <col min="12269" max="12269" width="26" style="199" customWidth="1"/>
    <col min="12270" max="12270" width="17.140625" style="199" customWidth="1"/>
    <col min="12271" max="12271" width="47.42578125" style="199" customWidth="1"/>
    <col min="12272" max="12272" width="15.5703125" style="199" customWidth="1"/>
    <col min="12273" max="12273" width="12.7109375" style="199" customWidth="1"/>
    <col min="12274" max="12524" width="9.140625" style="199"/>
    <col min="12525" max="12525" width="26" style="199" customWidth="1"/>
    <col min="12526" max="12526" width="17.140625" style="199" customWidth="1"/>
    <col min="12527" max="12527" width="47.42578125" style="199" customWidth="1"/>
    <col min="12528" max="12528" width="15.5703125" style="199" customWidth="1"/>
    <col min="12529" max="12529" width="12.7109375" style="199" customWidth="1"/>
    <col min="12530" max="12780" width="9.140625" style="199"/>
    <col min="12781" max="12781" width="26" style="199" customWidth="1"/>
    <col min="12782" max="12782" width="17.140625" style="199" customWidth="1"/>
    <col min="12783" max="12783" width="47.42578125" style="199" customWidth="1"/>
    <col min="12784" max="12784" width="15.5703125" style="199" customWidth="1"/>
    <col min="12785" max="12785" width="12.7109375" style="199" customWidth="1"/>
    <col min="12786" max="13036" width="9.140625" style="199"/>
    <col min="13037" max="13037" width="26" style="199" customWidth="1"/>
    <col min="13038" max="13038" width="17.140625" style="199" customWidth="1"/>
    <col min="13039" max="13039" width="47.42578125" style="199" customWidth="1"/>
    <col min="13040" max="13040" width="15.5703125" style="199" customWidth="1"/>
    <col min="13041" max="13041" width="12.7109375" style="199" customWidth="1"/>
    <col min="13042" max="13292" width="9.140625" style="199"/>
    <col min="13293" max="13293" width="26" style="199" customWidth="1"/>
    <col min="13294" max="13294" width="17.140625" style="199" customWidth="1"/>
    <col min="13295" max="13295" width="47.42578125" style="199" customWidth="1"/>
    <col min="13296" max="13296" width="15.5703125" style="199" customWidth="1"/>
    <col min="13297" max="13297" width="12.7109375" style="199" customWidth="1"/>
    <col min="13298" max="13548" width="9.140625" style="199"/>
    <col min="13549" max="13549" width="26" style="199" customWidth="1"/>
    <col min="13550" max="13550" width="17.140625" style="199" customWidth="1"/>
    <col min="13551" max="13551" width="47.42578125" style="199" customWidth="1"/>
    <col min="13552" max="13552" width="15.5703125" style="199" customWidth="1"/>
    <col min="13553" max="13553" width="12.7109375" style="199" customWidth="1"/>
    <col min="13554" max="13804" width="9.140625" style="199"/>
    <col min="13805" max="13805" width="26" style="199" customWidth="1"/>
    <col min="13806" max="13806" width="17.140625" style="199" customWidth="1"/>
    <col min="13807" max="13807" width="47.42578125" style="199" customWidth="1"/>
    <col min="13808" max="13808" width="15.5703125" style="199" customWidth="1"/>
    <col min="13809" max="13809" width="12.7109375" style="199" customWidth="1"/>
    <col min="13810" max="14060" width="9.140625" style="199"/>
    <col min="14061" max="14061" width="26" style="199" customWidth="1"/>
    <col min="14062" max="14062" width="17.140625" style="199" customWidth="1"/>
    <col min="14063" max="14063" width="47.42578125" style="199" customWidth="1"/>
    <col min="14064" max="14064" width="15.5703125" style="199" customWidth="1"/>
    <col min="14065" max="14065" width="12.7109375" style="199" customWidth="1"/>
    <col min="14066" max="14316" width="9.140625" style="199"/>
    <col min="14317" max="14317" width="26" style="199" customWidth="1"/>
    <col min="14318" max="14318" width="17.140625" style="199" customWidth="1"/>
    <col min="14319" max="14319" width="47.42578125" style="199" customWidth="1"/>
    <col min="14320" max="14320" width="15.5703125" style="199" customWidth="1"/>
    <col min="14321" max="14321" width="12.7109375" style="199" customWidth="1"/>
    <col min="14322" max="14572" width="9.140625" style="199"/>
    <col min="14573" max="14573" width="26" style="199" customWidth="1"/>
    <col min="14574" max="14574" width="17.140625" style="199" customWidth="1"/>
    <col min="14575" max="14575" width="47.42578125" style="199" customWidth="1"/>
    <col min="14576" max="14576" width="15.5703125" style="199" customWidth="1"/>
    <col min="14577" max="14577" width="12.7109375" style="199" customWidth="1"/>
    <col min="14578" max="14828" width="9.140625" style="199"/>
    <col min="14829" max="14829" width="26" style="199" customWidth="1"/>
    <col min="14830" max="14830" width="17.140625" style="199" customWidth="1"/>
    <col min="14831" max="14831" width="47.42578125" style="199" customWidth="1"/>
    <col min="14832" max="14832" width="15.5703125" style="199" customWidth="1"/>
    <col min="14833" max="14833" width="12.7109375" style="199" customWidth="1"/>
    <col min="14834" max="15084" width="9.140625" style="199"/>
    <col min="15085" max="15085" width="26" style="199" customWidth="1"/>
    <col min="15086" max="15086" width="17.140625" style="199" customWidth="1"/>
    <col min="15087" max="15087" width="47.42578125" style="199" customWidth="1"/>
    <col min="15088" max="15088" width="15.5703125" style="199" customWidth="1"/>
    <col min="15089" max="15089" width="12.7109375" style="199" customWidth="1"/>
    <col min="15090" max="15340" width="9.140625" style="199"/>
    <col min="15341" max="15341" width="26" style="199" customWidth="1"/>
    <col min="15342" max="15342" width="17.140625" style="199" customWidth="1"/>
    <col min="15343" max="15343" width="47.42578125" style="199" customWidth="1"/>
    <col min="15344" max="15344" width="15.5703125" style="199" customWidth="1"/>
    <col min="15345" max="15345" width="12.7109375" style="199" customWidth="1"/>
    <col min="15346" max="15596" width="9.140625" style="199"/>
    <col min="15597" max="15597" width="26" style="199" customWidth="1"/>
    <col min="15598" max="15598" width="17.140625" style="199" customWidth="1"/>
    <col min="15599" max="15599" width="47.42578125" style="199" customWidth="1"/>
    <col min="15600" max="15600" width="15.5703125" style="199" customWidth="1"/>
    <col min="15601" max="15601" width="12.7109375" style="199" customWidth="1"/>
    <col min="15602" max="15852" width="9.140625" style="199"/>
    <col min="15853" max="15853" width="26" style="199" customWidth="1"/>
    <col min="15854" max="15854" width="17.140625" style="199" customWidth="1"/>
    <col min="15855" max="15855" width="47.42578125" style="199" customWidth="1"/>
    <col min="15856" max="15856" width="15.5703125" style="199" customWidth="1"/>
    <col min="15857" max="15857" width="12.7109375" style="199" customWidth="1"/>
    <col min="15858" max="16108" width="9.140625" style="199"/>
    <col min="16109" max="16109" width="26" style="199" customWidth="1"/>
    <col min="16110" max="16110" width="17.140625" style="199" customWidth="1"/>
    <col min="16111" max="16111" width="47.42578125" style="199" customWidth="1"/>
    <col min="16112" max="16112" width="15.5703125" style="199" customWidth="1"/>
    <col min="16113" max="16113" width="12.7109375" style="199" customWidth="1"/>
    <col min="16114" max="16384" width="9.140625" style="199"/>
  </cols>
  <sheetData>
    <row r="1" spans="1:8" s="118" customFormat="1" ht="18" customHeight="1" x14ac:dyDescent="0.25">
      <c r="A1" s="198"/>
      <c r="C1" s="611" t="s">
        <v>525</v>
      </c>
      <c r="D1" s="611"/>
      <c r="E1" s="611"/>
      <c r="F1" s="611"/>
      <c r="G1" s="611"/>
      <c r="H1" s="611"/>
    </row>
    <row r="2" spans="1:8" s="118" customFormat="1" ht="62.25" customHeight="1" x14ac:dyDescent="0.25">
      <c r="A2" s="198"/>
      <c r="C2" s="598" t="s">
        <v>593</v>
      </c>
      <c r="D2" s="598"/>
      <c r="E2" s="598"/>
      <c r="F2" s="598"/>
      <c r="G2" s="598"/>
      <c r="H2" s="598"/>
    </row>
    <row r="3" spans="1:8" s="200" customFormat="1" ht="54" customHeight="1" x14ac:dyDescent="0.2">
      <c r="A3" s="614" t="s">
        <v>704</v>
      </c>
      <c r="B3" s="614"/>
      <c r="C3" s="614"/>
      <c r="D3" s="614"/>
      <c r="E3" s="614"/>
      <c r="F3" s="614"/>
      <c r="G3" s="614"/>
      <c r="H3" s="614"/>
    </row>
    <row r="4" spans="1:8" s="200" customFormat="1" ht="20.25" customHeight="1" x14ac:dyDescent="0.2">
      <c r="A4" s="201"/>
      <c r="D4" s="202" t="s">
        <v>564</v>
      </c>
    </row>
    <row r="5" spans="1:8" s="227" customFormat="1" ht="26.25" customHeight="1" x14ac:dyDescent="0.25">
      <c r="A5" s="226" t="s">
        <v>526</v>
      </c>
      <c r="B5" s="585" t="s">
        <v>527</v>
      </c>
      <c r="C5" s="585"/>
      <c r="D5" s="226" t="s">
        <v>547</v>
      </c>
      <c r="E5" s="403" t="s">
        <v>791</v>
      </c>
      <c r="F5" s="403" t="s">
        <v>761</v>
      </c>
      <c r="G5" s="436" t="s">
        <v>825</v>
      </c>
      <c r="H5" s="436" t="s">
        <v>812</v>
      </c>
    </row>
    <row r="6" spans="1:8" ht="27" customHeight="1" x14ac:dyDescent="0.25">
      <c r="A6" s="117" t="s">
        <v>528</v>
      </c>
      <c r="B6" s="612" t="s">
        <v>529</v>
      </c>
      <c r="C6" s="612"/>
      <c r="D6" s="203">
        <f>D7+D11</f>
        <v>0</v>
      </c>
      <c r="E6" s="203">
        <f t="shared" ref="E6:F6" si="0">E7+E11</f>
        <v>3702506</v>
      </c>
      <c r="F6" s="203">
        <f t="shared" si="0"/>
        <v>3702506</v>
      </c>
      <c r="G6" s="203">
        <f t="shared" ref="G6:H6" si="1">G7+G11</f>
        <v>4280700</v>
      </c>
      <c r="H6" s="203">
        <f t="shared" si="1"/>
        <v>7983206</v>
      </c>
    </row>
    <row r="7" spans="1:8" s="200" customFormat="1" ht="16.5" customHeight="1" x14ac:dyDescent="0.2">
      <c r="A7" s="117" t="s">
        <v>530</v>
      </c>
      <c r="B7" s="612" t="s">
        <v>531</v>
      </c>
      <c r="C7" s="612"/>
      <c r="D7" s="203">
        <f>D8</f>
        <v>-234246433</v>
      </c>
      <c r="E7" s="203">
        <f t="shared" ref="E7:H9" si="2">E8</f>
        <v>-4802500</v>
      </c>
      <c r="F7" s="203">
        <f t="shared" si="2"/>
        <v>-239048933</v>
      </c>
      <c r="G7" s="203">
        <f t="shared" si="2"/>
        <v>4115019</v>
      </c>
      <c r="H7" s="203">
        <f t="shared" si="2"/>
        <v>-234933914</v>
      </c>
    </row>
    <row r="8" spans="1:8" s="200" customFormat="1" ht="26.25" customHeight="1" x14ac:dyDescent="0.2">
      <c r="A8" s="117" t="s">
        <v>532</v>
      </c>
      <c r="B8" s="612" t="s">
        <v>533</v>
      </c>
      <c r="C8" s="612"/>
      <c r="D8" s="203">
        <f>D9</f>
        <v>-234246433</v>
      </c>
      <c r="E8" s="203">
        <f t="shared" si="2"/>
        <v>-4802500</v>
      </c>
      <c r="F8" s="203">
        <f t="shared" si="2"/>
        <v>-239048933</v>
      </c>
      <c r="G8" s="203">
        <f t="shared" si="2"/>
        <v>4115019</v>
      </c>
      <c r="H8" s="203">
        <f t="shared" si="2"/>
        <v>-234933914</v>
      </c>
    </row>
    <row r="9" spans="1:8" s="200" customFormat="1" ht="26.25" customHeight="1" x14ac:dyDescent="0.2">
      <c r="A9" s="117" t="s">
        <v>534</v>
      </c>
      <c r="B9" s="612" t="s">
        <v>535</v>
      </c>
      <c r="C9" s="612"/>
      <c r="D9" s="203">
        <f>D10</f>
        <v>-234246433</v>
      </c>
      <c r="E9" s="203">
        <f t="shared" si="2"/>
        <v>-4802500</v>
      </c>
      <c r="F9" s="203">
        <f t="shared" si="2"/>
        <v>-239048933</v>
      </c>
      <c r="G9" s="203">
        <f t="shared" si="2"/>
        <v>4115019</v>
      </c>
      <c r="H9" s="203">
        <f t="shared" si="2"/>
        <v>-234933914</v>
      </c>
    </row>
    <row r="10" spans="1:8" s="200" customFormat="1" ht="42" customHeight="1" x14ac:dyDescent="0.2">
      <c r="A10" s="117" t="s">
        <v>536</v>
      </c>
      <c r="B10" s="612" t="s">
        <v>537</v>
      </c>
      <c r="C10" s="612"/>
      <c r="D10" s="203">
        <f>-' Дох.15'!C119</f>
        <v>-234246433</v>
      </c>
      <c r="E10" s="203">
        <f>-' Дох.15'!F119</f>
        <v>-4802500</v>
      </c>
      <c r="F10" s="203">
        <f>-' Дох.15'!G119</f>
        <v>-239048933</v>
      </c>
      <c r="G10" s="203">
        <f>-' Дох.15'!H119</f>
        <v>4115019</v>
      </c>
      <c r="H10" s="203">
        <f>-' Дох.15'!I119</f>
        <v>-234933914</v>
      </c>
    </row>
    <row r="11" spans="1:8" s="200" customFormat="1" ht="17.25" customHeight="1" x14ac:dyDescent="0.2">
      <c r="A11" s="117" t="s">
        <v>538</v>
      </c>
      <c r="B11" s="612" t="s">
        <v>539</v>
      </c>
      <c r="C11" s="612"/>
      <c r="D11" s="203">
        <f>D12</f>
        <v>234246433</v>
      </c>
      <c r="E11" s="203">
        <f t="shared" ref="E11:H13" si="3">E12</f>
        <v>8505006</v>
      </c>
      <c r="F11" s="203">
        <f t="shared" si="3"/>
        <v>242751439</v>
      </c>
      <c r="G11" s="203">
        <f t="shared" si="3"/>
        <v>165681</v>
      </c>
      <c r="H11" s="203">
        <f t="shared" si="3"/>
        <v>242917120</v>
      </c>
    </row>
    <row r="12" spans="1:8" s="200" customFormat="1" ht="26.25" customHeight="1" x14ac:dyDescent="0.2">
      <c r="A12" s="117" t="s">
        <v>540</v>
      </c>
      <c r="B12" s="612" t="s">
        <v>541</v>
      </c>
      <c r="C12" s="612"/>
      <c r="D12" s="203">
        <f>D13</f>
        <v>234246433</v>
      </c>
      <c r="E12" s="203">
        <f t="shared" si="3"/>
        <v>8505006</v>
      </c>
      <c r="F12" s="203">
        <f t="shared" si="3"/>
        <v>242751439</v>
      </c>
      <c r="G12" s="203">
        <f t="shared" si="3"/>
        <v>165681</v>
      </c>
      <c r="H12" s="203">
        <f t="shared" si="3"/>
        <v>242917120</v>
      </c>
    </row>
    <row r="13" spans="1:8" s="200" customFormat="1" ht="26.25" customHeight="1" x14ac:dyDescent="0.2">
      <c r="A13" s="117" t="s">
        <v>542</v>
      </c>
      <c r="B13" s="612" t="s">
        <v>543</v>
      </c>
      <c r="C13" s="612"/>
      <c r="D13" s="203">
        <f>D14</f>
        <v>234246433</v>
      </c>
      <c r="E13" s="203">
        <f t="shared" si="3"/>
        <v>8505006</v>
      </c>
      <c r="F13" s="203">
        <f t="shared" si="3"/>
        <v>242751439</v>
      </c>
      <c r="G13" s="203">
        <f t="shared" si="3"/>
        <v>165681</v>
      </c>
      <c r="H13" s="203">
        <f t="shared" si="3"/>
        <v>242917120</v>
      </c>
    </row>
    <row r="14" spans="1:8" s="200" customFormat="1" ht="42" customHeight="1" x14ac:dyDescent="0.2">
      <c r="A14" s="117" t="s">
        <v>544</v>
      </c>
      <c r="B14" s="612" t="s">
        <v>545</v>
      </c>
      <c r="C14" s="612"/>
      <c r="D14" s="203">
        <f>'6 Вед15'!J354</f>
        <v>234246433</v>
      </c>
      <c r="E14" s="203">
        <f>'6 Вед15'!K354</f>
        <v>8505006</v>
      </c>
      <c r="F14" s="203">
        <f>'6 Вед15'!L354</f>
        <v>242751439</v>
      </c>
      <c r="G14" s="203">
        <f>'6 Вед15'!M354</f>
        <v>165681</v>
      </c>
      <c r="H14" s="203">
        <f>'6 Вед15'!N354</f>
        <v>242917120</v>
      </c>
    </row>
    <row r="15" spans="1:8" s="206" customFormat="1" ht="42" customHeight="1" x14ac:dyDescent="0.25">
      <c r="A15" s="204"/>
      <c r="B15" s="613" t="s">
        <v>546</v>
      </c>
      <c r="C15" s="613"/>
      <c r="D15" s="205">
        <f>D6</f>
        <v>0</v>
      </c>
      <c r="E15" s="205">
        <f t="shared" ref="E15:F15" si="4">E6</f>
        <v>3702506</v>
      </c>
      <c r="F15" s="205">
        <f t="shared" si="4"/>
        <v>3702506</v>
      </c>
      <c r="G15" s="205">
        <f t="shared" ref="G15:H15" si="5">G6</f>
        <v>4280700</v>
      </c>
      <c r="H15" s="205">
        <f t="shared" si="5"/>
        <v>7983206</v>
      </c>
    </row>
    <row r="17" spans="3:7" x14ac:dyDescent="0.25">
      <c r="D17" s="207"/>
    </row>
    <row r="18" spans="3:7" x14ac:dyDescent="0.25">
      <c r="D18" s="207"/>
    </row>
    <row r="19" spans="3:7" x14ac:dyDescent="0.25">
      <c r="D19" s="207"/>
      <c r="G19" s="468">
        <f>' Дох.15'!H70</f>
        <v>-4080700</v>
      </c>
    </row>
    <row r="20" spans="3:7" x14ac:dyDescent="0.25">
      <c r="G20" s="483" t="e">
        <f>#REF!</f>
        <v>#REF!</v>
      </c>
    </row>
    <row r="21" spans="3:7" x14ac:dyDescent="0.25">
      <c r="C21" s="208"/>
      <c r="D21" s="208"/>
    </row>
    <row r="25" spans="3:7" x14ac:dyDescent="0.25">
      <c r="C25" s="209"/>
      <c r="D25" s="209"/>
    </row>
  </sheetData>
  <mergeCells count="14">
    <mergeCell ref="C1:H1"/>
    <mergeCell ref="B14:C14"/>
    <mergeCell ref="B15:C15"/>
    <mergeCell ref="B6:C6"/>
    <mergeCell ref="B7:C7"/>
    <mergeCell ref="B8:C8"/>
    <mergeCell ref="B9:C9"/>
    <mergeCell ref="B10:C10"/>
    <mergeCell ref="B11:C11"/>
    <mergeCell ref="B5:C5"/>
    <mergeCell ref="B12:C12"/>
    <mergeCell ref="B13:C13"/>
    <mergeCell ref="A3:H3"/>
    <mergeCell ref="C2:H2"/>
  </mergeCells>
  <pageMargins left="1.1023622047244095" right="0.51181102362204722" top="0.35433070866141736" bottom="0.74803149606299213" header="0.31496062992125984" footer="0.31496062992125984"/>
  <pageSetup paperSize="9" scale="7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F11" sqref="F11"/>
    </sheetView>
  </sheetViews>
  <sheetFormatPr defaultRowHeight="12.75" x14ac:dyDescent="0.25"/>
  <cols>
    <col min="1" max="1" width="26.140625" style="199" customWidth="1"/>
    <col min="2" max="2" width="25.42578125" style="199" customWidth="1"/>
    <col min="3" max="3" width="13" style="199" customWidth="1"/>
    <col min="4" max="5" width="16.5703125" style="199" hidden="1" customWidth="1"/>
    <col min="6" max="6" width="16.5703125" style="199" customWidth="1"/>
    <col min="7" max="8" width="16.5703125" style="199" hidden="1" customWidth="1"/>
    <col min="9" max="9" width="16.5703125" style="199" customWidth="1"/>
    <col min="10" max="242" width="9.140625" style="199"/>
    <col min="243" max="243" width="26" style="199" customWidth="1"/>
    <col min="244" max="244" width="17.140625" style="199" customWidth="1"/>
    <col min="245" max="245" width="47.42578125" style="199" customWidth="1"/>
    <col min="246" max="246" width="15.5703125" style="199" customWidth="1"/>
    <col min="247" max="247" width="12.7109375" style="199" customWidth="1"/>
    <col min="248" max="498" width="9.140625" style="199"/>
    <col min="499" max="499" width="26" style="199" customWidth="1"/>
    <col min="500" max="500" width="17.140625" style="199" customWidth="1"/>
    <col min="501" max="501" width="47.42578125" style="199" customWidth="1"/>
    <col min="502" max="502" width="15.5703125" style="199" customWidth="1"/>
    <col min="503" max="503" width="12.7109375" style="199" customWidth="1"/>
    <col min="504" max="754" width="9.140625" style="199"/>
    <col min="755" max="755" width="26" style="199" customWidth="1"/>
    <col min="756" max="756" width="17.140625" style="199" customWidth="1"/>
    <col min="757" max="757" width="47.42578125" style="199" customWidth="1"/>
    <col min="758" max="758" width="15.5703125" style="199" customWidth="1"/>
    <col min="759" max="759" width="12.7109375" style="199" customWidth="1"/>
    <col min="760" max="1010" width="9.140625" style="199"/>
    <col min="1011" max="1011" width="26" style="199" customWidth="1"/>
    <col min="1012" max="1012" width="17.140625" style="199" customWidth="1"/>
    <col min="1013" max="1013" width="47.42578125" style="199" customWidth="1"/>
    <col min="1014" max="1014" width="15.5703125" style="199" customWidth="1"/>
    <col min="1015" max="1015" width="12.7109375" style="199" customWidth="1"/>
    <col min="1016" max="1266" width="9.140625" style="199"/>
    <col min="1267" max="1267" width="26" style="199" customWidth="1"/>
    <col min="1268" max="1268" width="17.140625" style="199" customWidth="1"/>
    <col min="1269" max="1269" width="47.42578125" style="199" customWidth="1"/>
    <col min="1270" max="1270" width="15.5703125" style="199" customWidth="1"/>
    <col min="1271" max="1271" width="12.7109375" style="199" customWidth="1"/>
    <col min="1272" max="1522" width="9.140625" style="199"/>
    <col min="1523" max="1523" width="26" style="199" customWidth="1"/>
    <col min="1524" max="1524" width="17.140625" style="199" customWidth="1"/>
    <col min="1525" max="1525" width="47.42578125" style="199" customWidth="1"/>
    <col min="1526" max="1526" width="15.5703125" style="199" customWidth="1"/>
    <col min="1527" max="1527" width="12.7109375" style="199" customWidth="1"/>
    <col min="1528" max="1778" width="9.140625" style="199"/>
    <col min="1779" max="1779" width="26" style="199" customWidth="1"/>
    <col min="1780" max="1780" width="17.140625" style="199" customWidth="1"/>
    <col min="1781" max="1781" width="47.42578125" style="199" customWidth="1"/>
    <col min="1782" max="1782" width="15.5703125" style="199" customWidth="1"/>
    <col min="1783" max="1783" width="12.7109375" style="199" customWidth="1"/>
    <col min="1784" max="2034" width="9.140625" style="199"/>
    <col min="2035" max="2035" width="26" style="199" customWidth="1"/>
    <col min="2036" max="2036" width="17.140625" style="199" customWidth="1"/>
    <col min="2037" max="2037" width="47.42578125" style="199" customWidth="1"/>
    <col min="2038" max="2038" width="15.5703125" style="199" customWidth="1"/>
    <col min="2039" max="2039" width="12.7109375" style="199" customWidth="1"/>
    <col min="2040" max="2290" width="9.140625" style="199"/>
    <col min="2291" max="2291" width="26" style="199" customWidth="1"/>
    <col min="2292" max="2292" width="17.140625" style="199" customWidth="1"/>
    <col min="2293" max="2293" width="47.42578125" style="199" customWidth="1"/>
    <col min="2294" max="2294" width="15.5703125" style="199" customWidth="1"/>
    <col min="2295" max="2295" width="12.7109375" style="199" customWidth="1"/>
    <col min="2296" max="2546" width="9.140625" style="199"/>
    <col min="2547" max="2547" width="26" style="199" customWidth="1"/>
    <col min="2548" max="2548" width="17.140625" style="199" customWidth="1"/>
    <col min="2549" max="2549" width="47.42578125" style="199" customWidth="1"/>
    <col min="2550" max="2550" width="15.5703125" style="199" customWidth="1"/>
    <col min="2551" max="2551" width="12.7109375" style="199" customWidth="1"/>
    <col min="2552" max="2802" width="9.140625" style="199"/>
    <col min="2803" max="2803" width="26" style="199" customWidth="1"/>
    <col min="2804" max="2804" width="17.140625" style="199" customWidth="1"/>
    <col min="2805" max="2805" width="47.42578125" style="199" customWidth="1"/>
    <col min="2806" max="2806" width="15.5703125" style="199" customWidth="1"/>
    <col min="2807" max="2807" width="12.7109375" style="199" customWidth="1"/>
    <col min="2808" max="3058" width="9.140625" style="199"/>
    <col min="3059" max="3059" width="26" style="199" customWidth="1"/>
    <col min="3060" max="3060" width="17.140625" style="199" customWidth="1"/>
    <col min="3061" max="3061" width="47.42578125" style="199" customWidth="1"/>
    <col min="3062" max="3062" width="15.5703125" style="199" customWidth="1"/>
    <col min="3063" max="3063" width="12.7109375" style="199" customWidth="1"/>
    <col min="3064" max="3314" width="9.140625" style="199"/>
    <col min="3315" max="3315" width="26" style="199" customWidth="1"/>
    <col min="3316" max="3316" width="17.140625" style="199" customWidth="1"/>
    <col min="3317" max="3317" width="47.42578125" style="199" customWidth="1"/>
    <col min="3318" max="3318" width="15.5703125" style="199" customWidth="1"/>
    <col min="3319" max="3319" width="12.7109375" style="199" customWidth="1"/>
    <col min="3320" max="3570" width="9.140625" style="199"/>
    <col min="3571" max="3571" width="26" style="199" customWidth="1"/>
    <col min="3572" max="3572" width="17.140625" style="199" customWidth="1"/>
    <col min="3573" max="3573" width="47.42578125" style="199" customWidth="1"/>
    <col min="3574" max="3574" width="15.5703125" style="199" customWidth="1"/>
    <col min="3575" max="3575" width="12.7109375" style="199" customWidth="1"/>
    <col min="3576" max="3826" width="9.140625" style="199"/>
    <col min="3827" max="3827" width="26" style="199" customWidth="1"/>
    <col min="3828" max="3828" width="17.140625" style="199" customWidth="1"/>
    <col min="3829" max="3829" width="47.42578125" style="199" customWidth="1"/>
    <col min="3830" max="3830" width="15.5703125" style="199" customWidth="1"/>
    <col min="3831" max="3831" width="12.7109375" style="199" customWidth="1"/>
    <col min="3832" max="4082" width="9.140625" style="199"/>
    <col min="4083" max="4083" width="26" style="199" customWidth="1"/>
    <col min="4084" max="4084" width="17.140625" style="199" customWidth="1"/>
    <col min="4085" max="4085" width="47.42578125" style="199" customWidth="1"/>
    <col min="4086" max="4086" width="15.5703125" style="199" customWidth="1"/>
    <col min="4087" max="4087" width="12.7109375" style="199" customWidth="1"/>
    <col min="4088" max="4338" width="9.140625" style="199"/>
    <col min="4339" max="4339" width="26" style="199" customWidth="1"/>
    <col min="4340" max="4340" width="17.140625" style="199" customWidth="1"/>
    <col min="4341" max="4341" width="47.42578125" style="199" customWidth="1"/>
    <col min="4342" max="4342" width="15.5703125" style="199" customWidth="1"/>
    <col min="4343" max="4343" width="12.7109375" style="199" customWidth="1"/>
    <col min="4344" max="4594" width="9.140625" style="199"/>
    <col min="4595" max="4595" width="26" style="199" customWidth="1"/>
    <col min="4596" max="4596" width="17.140625" style="199" customWidth="1"/>
    <col min="4597" max="4597" width="47.42578125" style="199" customWidth="1"/>
    <col min="4598" max="4598" width="15.5703125" style="199" customWidth="1"/>
    <col min="4599" max="4599" width="12.7109375" style="199" customWidth="1"/>
    <col min="4600" max="4850" width="9.140625" style="199"/>
    <col min="4851" max="4851" width="26" style="199" customWidth="1"/>
    <col min="4852" max="4852" width="17.140625" style="199" customWidth="1"/>
    <col min="4853" max="4853" width="47.42578125" style="199" customWidth="1"/>
    <col min="4854" max="4854" width="15.5703125" style="199" customWidth="1"/>
    <col min="4855" max="4855" width="12.7109375" style="199" customWidth="1"/>
    <col min="4856" max="5106" width="9.140625" style="199"/>
    <col min="5107" max="5107" width="26" style="199" customWidth="1"/>
    <col min="5108" max="5108" width="17.140625" style="199" customWidth="1"/>
    <col min="5109" max="5109" width="47.42578125" style="199" customWidth="1"/>
    <col min="5110" max="5110" width="15.5703125" style="199" customWidth="1"/>
    <col min="5111" max="5111" width="12.7109375" style="199" customWidth="1"/>
    <col min="5112" max="5362" width="9.140625" style="199"/>
    <col min="5363" max="5363" width="26" style="199" customWidth="1"/>
    <col min="5364" max="5364" width="17.140625" style="199" customWidth="1"/>
    <col min="5365" max="5365" width="47.42578125" style="199" customWidth="1"/>
    <col min="5366" max="5366" width="15.5703125" style="199" customWidth="1"/>
    <col min="5367" max="5367" width="12.7109375" style="199" customWidth="1"/>
    <col min="5368" max="5618" width="9.140625" style="199"/>
    <col min="5619" max="5619" width="26" style="199" customWidth="1"/>
    <col min="5620" max="5620" width="17.140625" style="199" customWidth="1"/>
    <col min="5621" max="5621" width="47.42578125" style="199" customWidth="1"/>
    <col min="5622" max="5622" width="15.5703125" style="199" customWidth="1"/>
    <col min="5623" max="5623" width="12.7109375" style="199" customWidth="1"/>
    <col min="5624" max="5874" width="9.140625" style="199"/>
    <col min="5875" max="5875" width="26" style="199" customWidth="1"/>
    <col min="5876" max="5876" width="17.140625" style="199" customWidth="1"/>
    <col min="5877" max="5877" width="47.42578125" style="199" customWidth="1"/>
    <col min="5878" max="5878" width="15.5703125" style="199" customWidth="1"/>
    <col min="5879" max="5879" width="12.7109375" style="199" customWidth="1"/>
    <col min="5880" max="6130" width="9.140625" style="199"/>
    <col min="6131" max="6131" width="26" style="199" customWidth="1"/>
    <col min="6132" max="6132" width="17.140625" style="199" customWidth="1"/>
    <col min="6133" max="6133" width="47.42578125" style="199" customWidth="1"/>
    <col min="6134" max="6134" width="15.5703125" style="199" customWidth="1"/>
    <col min="6135" max="6135" width="12.7109375" style="199" customWidth="1"/>
    <col min="6136" max="6386" width="9.140625" style="199"/>
    <col min="6387" max="6387" width="26" style="199" customWidth="1"/>
    <col min="6388" max="6388" width="17.140625" style="199" customWidth="1"/>
    <col min="6389" max="6389" width="47.42578125" style="199" customWidth="1"/>
    <col min="6390" max="6390" width="15.5703125" style="199" customWidth="1"/>
    <col min="6391" max="6391" width="12.7109375" style="199" customWidth="1"/>
    <col min="6392" max="6642" width="9.140625" style="199"/>
    <col min="6643" max="6643" width="26" style="199" customWidth="1"/>
    <col min="6644" max="6644" width="17.140625" style="199" customWidth="1"/>
    <col min="6645" max="6645" width="47.42578125" style="199" customWidth="1"/>
    <col min="6646" max="6646" width="15.5703125" style="199" customWidth="1"/>
    <col min="6647" max="6647" width="12.7109375" style="199" customWidth="1"/>
    <col min="6648" max="6898" width="9.140625" style="199"/>
    <col min="6899" max="6899" width="26" style="199" customWidth="1"/>
    <col min="6900" max="6900" width="17.140625" style="199" customWidth="1"/>
    <col min="6901" max="6901" width="47.42578125" style="199" customWidth="1"/>
    <col min="6902" max="6902" width="15.5703125" style="199" customWidth="1"/>
    <col min="6903" max="6903" width="12.7109375" style="199" customWidth="1"/>
    <col min="6904" max="7154" width="9.140625" style="199"/>
    <col min="7155" max="7155" width="26" style="199" customWidth="1"/>
    <col min="7156" max="7156" width="17.140625" style="199" customWidth="1"/>
    <col min="7157" max="7157" width="47.42578125" style="199" customWidth="1"/>
    <col min="7158" max="7158" width="15.5703125" style="199" customWidth="1"/>
    <col min="7159" max="7159" width="12.7109375" style="199" customWidth="1"/>
    <col min="7160" max="7410" width="9.140625" style="199"/>
    <col min="7411" max="7411" width="26" style="199" customWidth="1"/>
    <col min="7412" max="7412" width="17.140625" style="199" customWidth="1"/>
    <col min="7413" max="7413" width="47.42578125" style="199" customWidth="1"/>
    <col min="7414" max="7414" width="15.5703125" style="199" customWidth="1"/>
    <col min="7415" max="7415" width="12.7109375" style="199" customWidth="1"/>
    <col min="7416" max="7666" width="9.140625" style="199"/>
    <col min="7667" max="7667" width="26" style="199" customWidth="1"/>
    <col min="7668" max="7668" width="17.140625" style="199" customWidth="1"/>
    <col min="7669" max="7669" width="47.42578125" style="199" customWidth="1"/>
    <col min="7670" max="7670" width="15.5703125" style="199" customWidth="1"/>
    <col min="7671" max="7671" width="12.7109375" style="199" customWidth="1"/>
    <col min="7672" max="7922" width="9.140625" style="199"/>
    <col min="7923" max="7923" width="26" style="199" customWidth="1"/>
    <col min="7924" max="7924" width="17.140625" style="199" customWidth="1"/>
    <col min="7925" max="7925" width="47.42578125" style="199" customWidth="1"/>
    <col min="7926" max="7926" width="15.5703125" style="199" customWidth="1"/>
    <col min="7927" max="7927" width="12.7109375" style="199" customWidth="1"/>
    <col min="7928" max="8178" width="9.140625" style="199"/>
    <col min="8179" max="8179" width="26" style="199" customWidth="1"/>
    <col min="8180" max="8180" width="17.140625" style="199" customWidth="1"/>
    <col min="8181" max="8181" width="47.42578125" style="199" customWidth="1"/>
    <col min="8182" max="8182" width="15.5703125" style="199" customWidth="1"/>
    <col min="8183" max="8183" width="12.7109375" style="199" customWidth="1"/>
    <col min="8184" max="8434" width="9.140625" style="199"/>
    <col min="8435" max="8435" width="26" style="199" customWidth="1"/>
    <col min="8436" max="8436" width="17.140625" style="199" customWidth="1"/>
    <col min="8437" max="8437" width="47.42578125" style="199" customWidth="1"/>
    <col min="8438" max="8438" width="15.5703125" style="199" customWidth="1"/>
    <col min="8439" max="8439" width="12.7109375" style="199" customWidth="1"/>
    <col min="8440" max="8690" width="9.140625" style="199"/>
    <col min="8691" max="8691" width="26" style="199" customWidth="1"/>
    <col min="8692" max="8692" width="17.140625" style="199" customWidth="1"/>
    <col min="8693" max="8693" width="47.42578125" style="199" customWidth="1"/>
    <col min="8694" max="8694" width="15.5703125" style="199" customWidth="1"/>
    <col min="8695" max="8695" width="12.7109375" style="199" customWidth="1"/>
    <col min="8696" max="8946" width="9.140625" style="199"/>
    <col min="8947" max="8947" width="26" style="199" customWidth="1"/>
    <col min="8948" max="8948" width="17.140625" style="199" customWidth="1"/>
    <col min="8949" max="8949" width="47.42578125" style="199" customWidth="1"/>
    <col min="8950" max="8950" width="15.5703125" style="199" customWidth="1"/>
    <col min="8951" max="8951" width="12.7109375" style="199" customWidth="1"/>
    <col min="8952" max="9202" width="9.140625" style="199"/>
    <col min="9203" max="9203" width="26" style="199" customWidth="1"/>
    <col min="9204" max="9204" width="17.140625" style="199" customWidth="1"/>
    <col min="9205" max="9205" width="47.42578125" style="199" customWidth="1"/>
    <col min="9206" max="9206" width="15.5703125" style="199" customWidth="1"/>
    <col min="9207" max="9207" width="12.7109375" style="199" customWidth="1"/>
    <col min="9208" max="9458" width="9.140625" style="199"/>
    <col min="9459" max="9459" width="26" style="199" customWidth="1"/>
    <col min="9460" max="9460" width="17.140625" style="199" customWidth="1"/>
    <col min="9461" max="9461" width="47.42578125" style="199" customWidth="1"/>
    <col min="9462" max="9462" width="15.5703125" style="199" customWidth="1"/>
    <col min="9463" max="9463" width="12.7109375" style="199" customWidth="1"/>
    <col min="9464" max="9714" width="9.140625" style="199"/>
    <col min="9715" max="9715" width="26" style="199" customWidth="1"/>
    <col min="9716" max="9716" width="17.140625" style="199" customWidth="1"/>
    <col min="9717" max="9717" width="47.42578125" style="199" customWidth="1"/>
    <col min="9718" max="9718" width="15.5703125" style="199" customWidth="1"/>
    <col min="9719" max="9719" width="12.7109375" style="199" customWidth="1"/>
    <col min="9720" max="9970" width="9.140625" style="199"/>
    <col min="9971" max="9971" width="26" style="199" customWidth="1"/>
    <col min="9972" max="9972" width="17.140625" style="199" customWidth="1"/>
    <col min="9973" max="9973" width="47.42578125" style="199" customWidth="1"/>
    <col min="9974" max="9974" width="15.5703125" style="199" customWidth="1"/>
    <col min="9975" max="9975" width="12.7109375" style="199" customWidth="1"/>
    <col min="9976" max="10226" width="9.140625" style="199"/>
    <col min="10227" max="10227" width="26" style="199" customWidth="1"/>
    <col min="10228" max="10228" width="17.140625" style="199" customWidth="1"/>
    <col min="10229" max="10229" width="47.42578125" style="199" customWidth="1"/>
    <col min="10230" max="10230" width="15.5703125" style="199" customWidth="1"/>
    <col min="10231" max="10231" width="12.7109375" style="199" customWidth="1"/>
    <col min="10232" max="10482" width="9.140625" style="199"/>
    <col min="10483" max="10483" width="26" style="199" customWidth="1"/>
    <col min="10484" max="10484" width="17.140625" style="199" customWidth="1"/>
    <col min="10485" max="10485" width="47.42578125" style="199" customWidth="1"/>
    <col min="10486" max="10486" width="15.5703125" style="199" customWidth="1"/>
    <col min="10487" max="10487" width="12.7109375" style="199" customWidth="1"/>
    <col min="10488" max="10738" width="9.140625" style="199"/>
    <col min="10739" max="10739" width="26" style="199" customWidth="1"/>
    <col min="10740" max="10740" width="17.140625" style="199" customWidth="1"/>
    <col min="10741" max="10741" width="47.42578125" style="199" customWidth="1"/>
    <col min="10742" max="10742" width="15.5703125" style="199" customWidth="1"/>
    <col min="10743" max="10743" width="12.7109375" style="199" customWidth="1"/>
    <col min="10744" max="10994" width="9.140625" style="199"/>
    <col min="10995" max="10995" width="26" style="199" customWidth="1"/>
    <col min="10996" max="10996" width="17.140625" style="199" customWidth="1"/>
    <col min="10997" max="10997" width="47.42578125" style="199" customWidth="1"/>
    <col min="10998" max="10998" width="15.5703125" style="199" customWidth="1"/>
    <col min="10999" max="10999" width="12.7109375" style="199" customWidth="1"/>
    <col min="11000" max="11250" width="9.140625" style="199"/>
    <col min="11251" max="11251" width="26" style="199" customWidth="1"/>
    <col min="11252" max="11252" width="17.140625" style="199" customWidth="1"/>
    <col min="11253" max="11253" width="47.42578125" style="199" customWidth="1"/>
    <col min="11254" max="11254" width="15.5703125" style="199" customWidth="1"/>
    <col min="11255" max="11255" width="12.7109375" style="199" customWidth="1"/>
    <col min="11256" max="11506" width="9.140625" style="199"/>
    <col min="11507" max="11507" width="26" style="199" customWidth="1"/>
    <col min="11508" max="11508" width="17.140625" style="199" customWidth="1"/>
    <col min="11509" max="11509" width="47.42578125" style="199" customWidth="1"/>
    <col min="11510" max="11510" width="15.5703125" style="199" customWidth="1"/>
    <col min="11511" max="11511" width="12.7109375" style="199" customWidth="1"/>
    <col min="11512" max="11762" width="9.140625" style="199"/>
    <col min="11763" max="11763" width="26" style="199" customWidth="1"/>
    <col min="11764" max="11764" width="17.140625" style="199" customWidth="1"/>
    <col min="11765" max="11765" width="47.42578125" style="199" customWidth="1"/>
    <col min="11766" max="11766" width="15.5703125" style="199" customWidth="1"/>
    <col min="11767" max="11767" width="12.7109375" style="199" customWidth="1"/>
    <col min="11768" max="12018" width="9.140625" style="199"/>
    <col min="12019" max="12019" width="26" style="199" customWidth="1"/>
    <col min="12020" max="12020" width="17.140625" style="199" customWidth="1"/>
    <col min="12021" max="12021" width="47.42578125" style="199" customWidth="1"/>
    <col min="12022" max="12022" width="15.5703125" style="199" customWidth="1"/>
    <col min="12023" max="12023" width="12.7109375" style="199" customWidth="1"/>
    <col min="12024" max="12274" width="9.140625" style="199"/>
    <col min="12275" max="12275" width="26" style="199" customWidth="1"/>
    <col min="12276" max="12276" width="17.140625" style="199" customWidth="1"/>
    <col min="12277" max="12277" width="47.42578125" style="199" customWidth="1"/>
    <col min="12278" max="12278" width="15.5703125" style="199" customWidth="1"/>
    <col min="12279" max="12279" width="12.7109375" style="199" customWidth="1"/>
    <col min="12280" max="12530" width="9.140625" style="199"/>
    <col min="12531" max="12531" width="26" style="199" customWidth="1"/>
    <col min="12532" max="12532" width="17.140625" style="199" customWidth="1"/>
    <col min="12533" max="12533" width="47.42578125" style="199" customWidth="1"/>
    <col min="12534" max="12534" width="15.5703125" style="199" customWidth="1"/>
    <col min="12535" max="12535" width="12.7109375" style="199" customWidth="1"/>
    <col min="12536" max="12786" width="9.140625" style="199"/>
    <col min="12787" max="12787" width="26" style="199" customWidth="1"/>
    <col min="12788" max="12788" width="17.140625" style="199" customWidth="1"/>
    <col min="12789" max="12789" width="47.42578125" style="199" customWidth="1"/>
    <col min="12790" max="12790" width="15.5703125" style="199" customWidth="1"/>
    <col min="12791" max="12791" width="12.7109375" style="199" customWidth="1"/>
    <col min="12792" max="13042" width="9.140625" style="199"/>
    <col min="13043" max="13043" width="26" style="199" customWidth="1"/>
    <col min="13044" max="13044" width="17.140625" style="199" customWidth="1"/>
    <col min="13045" max="13045" width="47.42578125" style="199" customWidth="1"/>
    <col min="13046" max="13046" width="15.5703125" style="199" customWidth="1"/>
    <col min="13047" max="13047" width="12.7109375" style="199" customWidth="1"/>
    <col min="13048" max="13298" width="9.140625" style="199"/>
    <col min="13299" max="13299" width="26" style="199" customWidth="1"/>
    <col min="13300" max="13300" width="17.140625" style="199" customWidth="1"/>
    <col min="13301" max="13301" width="47.42578125" style="199" customWidth="1"/>
    <col min="13302" max="13302" width="15.5703125" style="199" customWidth="1"/>
    <col min="13303" max="13303" width="12.7109375" style="199" customWidth="1"/>
    <col min="13304" max="13554" width="9.140625" style="199"/>
    <col min="13555" max="13555" width="26" style="199" customWidth="1"/>
    <col min="13556" max="13556" width="17.140625" style="199" customWidth="1"/>
    <col min="13557" max="13557" width="47.42578125" style="199" customWidth="1"/>
    <col min="13558" max="13558" width="15.5703125" style="199" customWidth="1"/>
    <col min="13559" max="13559" width="12.7109375" style="199" customWidth="1"/>
    <col min="13560" max="13810" width="9.140625" style="199"/>
    <col min="13811" max="13811" width="26" style="199" customWidth="1"/>
    <col min="13812" max="13812" width="17.140625" style="199" customWidth="1"/>
    <col min="13813" max="13813" width="47.42578125" style="199" customWidth="1"/>
    <col min="13814" max="13814" width="15.5703125" style="199" customWidth="1"/>
    <col min="13815" max="13815" width="12.7109375" style="199" customWidth="1"/>
    <col min="13816" max="14066" width="9.140625" style="199"/>
    <col min="14067" max="14067" width="26" style="199" customWidth="1"/>
    <col min="14068" max="14068" width="17.140625" style="199" customWidth="1"/>
    <col min="14069" max="14069" width="47.42578125" style="199" customWidth="1"/>
    <col min="14070" max="14070" width="15.5703125" style="199" customWidth="1"/>
    <col min="14071" max="14071" width="12.7109375" style="199" customWidth="1"/>
    <col min="14072" max="14322" width="9.140625" style="199"/>
    <col min="14323" max="14323" width="26" style="199" customWidth="1"/>
    <col min="14324" max="14324" width="17.140625" style="199" customWidth="1"/>
    <col min="14325" max="14325" width="47.42578125" style="199" customWidth="1"/>
    <col min="14326" max="14326" width="15.5703125" style="199" customWidth="1"/>
    <col min="14327" max="14327" width="12.7109375" style="199" customWidth="1"/>
    <col min="14328" max="14578" width="9.140625" style="199"/>
    <col min="14579" max="14579" width="26" style="199" customWidth="1"/>
    <col min="14580" max="14580" width="17.140625" style="199" customWidth="1"/>
    <col min="14581" max="14581" width="47.42578125" style="199" customWidth="1"/>
    <col min="14582" max="14582" width="15.5703125" style="199" customWidth="1"/>
    <col min="14583" max="14583" width="12.7109375" style="199" customWidth="1"/>
    <col min="14584" max="14834" width="9.140625" style="199"/>
    <col min="14835" max="14835" width="26" style="199" customWidth="1"/>
    <col min="14836" max="14836" width="17.140625" style="199" customWidth="1"/>
    <col min="14837" max="14837" width="47.42578125" style="199" customWidth="1"/>
    <col min="14838" max="14838" width="15.5703125" style="199" customWidth="1"/>
    <col min="14839" max="14839" width="12.7109375" style="199" customWidth="1"/>
    <col min="14840" max="15090" width="9.140625" style="199"/>
    <col min="15091" max="15091" width="26" style="199" customWidth="1"/>
    <col min="15092" max="15092" width="17.140625" style="199" customWidth="1"/>
    <col min="15093" max="15093" width="47.42578125" style="199" customWidth="1"/>
    <col min="15094" max="15094" width="15.5703125" style="199" customWidth="1"/>
    <col min="15095" max="15095" width="12.7109375" style="199" customWidth="1"/>
    <col min="15096" max="15346" width="9.140625" style="199"/>
    <col min="15347" max="15347" width="26" style="199" customWidth="1"/>
    <col min="15348" max="15348" width="17.140625" style="199" customWidth="1"/>
    <col min="15349" max="15349" width="47.42578125" style="199" customWidth="1"/>
    <col min="15350" max="15350" width="15.5703125" style="199" customWidth="1"/>
    <col min="15351" max="15351" width="12.7109375" style="199" customWidth="1"/>
    <col min="15352" max="15602" width="9.140625" style="199"/>
    <col min="15603" max="15603" width="26" style="199" customWidth="1"/>
    <col min="15604" max="15604" width="17.140625" style="199" customWidth="1"/>
    <col min="15605" max="15605" width="47.42578125" style="199" customWidth="1"/>
    <col min="15606" max="15606" width="15.5703125" style="199" customWidth="1"/>
    <col min="15607" max="15607" width="12.7109375" style="199" customWidth="1"/>
    <col min="15608" max="15858" width="9.140625" style="199"/>
    <col min="15859" max="15859" width="26" style="199" customWidth="1"/>
    <col min="15860" max="15860" width="17.140625" style="199" customWidth="1"/>
    <col min="15861" max="15861" width="47.42578125" style="199" customWidth="1"/>
    <col min="15862" max="15862" width="15.5703125" style="199" customWidth="1"/>
    <col min="15863" max="15863" width="12.7109375" style="199" customWidth="1"/>
    <col min="15864" max="16114" width="9.140625" style="199"/>
    <col min="16115" max="16115" width="26" style="199" customWidth="1"/>
    <col min="16116" max="16116" width="17.140625" style="199" customWidth="1"/>
    <col min="16117" max="16117" width="47.42578125" style="199" customWidth="1"/>
    <col min="16118" max="16118" width="15.5703125" style="199" customWidth="1"/>
    <col min="16119" max="16119" width="12.7109375" style="199" customWidth="1"/>
    <col min="16120" max="16384" width="9.140625" style="199"/>
  </cols>
  <sheetData>
    <row r="1" spans="1:9" s="118" customFormat="1" ht="18" customHeight="1" x14ac:dyDescent="0.25">
      <c r="A1" s="198"/>
      <c r="C1" s="611" t="s">
        <v>556</v>
      </c>
      <c r="D1" s="611"/>
      <c r="E1" s="611"/>
      <c r="F1" s="611"/>
      <c r="G1" s="611"/>
      <c r="H1" s="611"/>
      <c r="I1" s="611"/>
    </row>
    <row r="2" spans="1:9" s="118" customFormat="1" ht="60" customHeight="1" x14ac:dyDescent="0.25">
      <c r="A2" s="198"/>
      <c r="C2" s="598" t="s">
        <v>592</v>
      </c>
      <c r="D2" s="598"/>
      <c r="E2" s="598"/>
      <c r="F2" s="598"/>
      <c r="G2" s="598"/>
      <c r="H2" s="598"/>
      <c r="I2" s="598"/>
    </row>
    <row r="3" spans="1:9" s="200" customFormat="1" ht="67.5" customHeight="1" x14ac:dyDescent="0.2">
      <c r="A3" s="614" t="s">
        <v>723</v>
      </c>
      <c r="B3" s="614"/>
      <c r="C3" s="614"/>
      <c r="D3" s="614"/>
      <c r="E3" s="614"/>
      <c r="F3" s="614"/>
      <c r="G3" s="614"/>
      <c r="H3" s="614"/>
      <c r="I3" s="614"/>
    </row>
    <row r="4" spans="1:9" s="200" customFormat="1" x14ac:dyDescent="0.2">
      <c r="A4" s="201"/>
      <c r="D4" s="202" t="s">
        <v>564</v>
      </c>
      <c r="E4" s="202"/>
      <c r="F4" s="202"/>
    </row>
    <row r="5" spans="1:9" s="119" customFormat="1" ht="26.25" customHeight="1" x14ac:dyDescent="0.25">
      <c r="A5" s="157" t="s">
        <v>526</v>
      </c>
      <c r="B5" s="585" t="s">
        <v>527</v>
      </c>
      <c r="C5" s="585"/>
      <c r="D5" s="157" t="s">
        <v>548</v>
      </c>
      <c r="E5" s="289" t="s">
        <v>826</v>
      </c>
      <c r="F5" s="289" t="s">
        <v>841</v>
      </c>
      <c r="G5" s="289">
        <v>2017</v>
      </c>
      <c r="H5" s="289" t="s">
        <v>826</v>
      </c>
      <c r="I5" s="289" t="s">
        <v>853</v>
      </c>
    </row>
    <row r="6" spans="1:9" ht="42" customHeight="1" x14ac:dyDescent="0.25">
      <c r="A6" s="117" t="s">
        <v>528</v>
      </c>
      <c r="B6" s="612" t="s">
        <v>529</v>
      </c>
      <c r="C6" s="612"/>
      <c r="D6" s="203">
        <f>D7+D11</f>
        <v>0</v>
      </c>
      <c r="E6" s="203">
        <f t="shared" ref="E6:F6" si="0">E7+E11</f>
        <v>0</v>
      </c>
      <c r="F6" s="203">
        <f t="shared" si="0"/>
        <v>0</v>
      </c>
      <c r="G6" s="203">
        <f>G7+G11</f>
        <v>0</v>
      </c>
      <c r="H6" s="203">
        <f t="shared" ref="H6:I6" si="1">H7+H11</f>
        <v>0</v>
      </c>
      <c r="I6" s="203">
        <f t="shared" si="1"/>
        <v>0</v>
      </c>
    </row>
    <row r="7" spans="1:9" s="200" customFormat="1" ht="42" customHeight="1" x14ac:dyDescent="0.2">
      <c r="A7" s="117" t="s">
        <v>530</v>
      </c>
      <c r="B7" s="612" t="s">
        <v>531</v>
      </c>
      <c r="C7" s="612"/>
      <c r="D7" s="203">
        <f t="shared" ref="D7:I9" si="2">D8</f>
        <v>-230823280</v>
      </c>
      <c r="E7" s="203">
        <f t="shared" si="2"/>
        <v>5599900</v>
      </c>
      <c r="F7" s="203">
        <f t="shared" si="2"/>
        <v>-225223380</v>
      </c>
      <c r="G7" s="203">
        <f t="shared" si="2"/>
        <v>-229348073</v>
      </c>
      <c r="H7" s="203">
        <f t="shared" si="2"/>
        <v>5153400</v>
      </c>
      <c r="I7" s="203">
        <f t="shared" si="2"/>
        <v>-224194673</v>
      </c>
    </row>
    <row r="8" spans="1:9" s="200" customFormat="1" ht="42" customHeight="1" x14ac:dyDescent="0.2">
      <c r="A8" s="117" t="s">
        <v>532</v>
      </c>
      <c r="B8" s="612" t="s">
        <v>533</v>
      </c>
      <c r="C8" s="612"/>
      <c r="D8" s="203">
        <f t="shared" si="2"/>
        <v>-230823280</v>
      </c>
      <c r="E8" s="203">
        <f t="shared" si="2"/>
        <v>5599900</v>
      </c>
      <c r="F8" s="203">
        <f t="shared" si="2"/>
        <v>-225223380</v>
      </c>
      <c r="G8" s="203">
        <f t="shared" si="2"/>
        <v>-229348073</v>
      </c>
      <c r="H8" s="203">
        <f t="shared" si="2"/>
        <v>5153400</v>
      </c>
      <c r="I8" s="203">
        <f t="shared" si="2"/>
        <v>-224194673</v>
      </c>
    </row>
    <row r="9" spans="1:9" s="200" customFormat="1" ht="42" customHeight="1" x14ac:dyDescent="0.2">
      <c r="A9" s="117" t="s">
        <v>534</v>
      </c>
      <c r="B9" s="612" t="s">
        <v>535</v>
      </c>
      <c r="C9" s="612"/>
      <c r="D9" s="203">
        <f t="shared" si="2"/>
        <v>-230823280</v>
      </c>
      <c r="E9" s="203">
        <f t="shared" si="2"/>
        <v>5599900</v>
      </c>
      <c r="F9" s="203">
        <f t="shared" si="2"/>
        <v>-225223380</v>
      </c>
      <c r="G9" s="203">
        <f t="shared" si="2"/>
        <v>-229348073</v>
      </c>
      <c r="H9" s="203">
        <f t="shared" si="2"/>
        <v>5153400</v>
      </c>
      <c r="I9" s="203">
        <f t="shared" si="2"/>
        <v>-224194673</v>
      </c>
    </row>
    <row r="10" spans="1:9" s="200" customFormat="1" ht="42" customHeight="1" x14ac:dyDescent="0.2">
      <c r="A10" s="117" t="s">
        <v>536</v>
      </c>
      <c r="B10" s="612" t="s">
        <v>537</v>
      </c>
      <c r="C10" s="612"/>
      <c r="D10" s="203">
        <f>-' Дох.15'!L119</f>
        <v>-230823280</v>
      </c>
      <c r="E10" s="203">
        <f>-' Дох.15'!M119</f>
        <v>5599900</v>
      </c>
      <c r="F10" s="203">
        <f>-' Дох.15'!N119</f>
        <v>-225223380</v>
      </c>
      <c r="G10" s="203">
        <f>-' Дох.15'!O119</f>
        <v>-229348073</v>
      </c>
      <c r="H10" s="203">
        <f>-' Дох.15'!P119</f>
        <v>5153400</v>
      </c>
      <c r="I10" s="203">
        <f>-' Дох.15'!Q119</f>
        <v>-224194673</v>
      </c>
    </row>
    <row r="11" spans="1:9" s="200" customFormat="1" ht="42" customHeight="1" x14ac:dyDescent="0.2">
      <c r="A11" s="117" t="s">
        <v>538</v>
      </c>
      <c r="B11" s="612" t="s">
        <v>539</v>
      </c>
      <c r="C11" s="612"/>
      <c r="D11" s="203">
        <f t="shared" ref="D11:I13" si="3">D12</f>
        <v>230823280</v>
      </c>
      <c r="E11" s="203">
        <f t="shared" si="3"/>
        <v>-5599900</v>
      </c>
      <c r="F11" s="203">
        <f t="shared" si="3"/>
        <v>225223380</v>
      </c>
      <c r="G11" s="203">
        <f t="shared" si="3"/>
        <v>229348073</v>
      </c>
      <c r="H11" s="203">
        <f t="shared" si="3"/>
        <v>-5153400</v>
      </c>
      <c r="I11" s="203">
        <f t="shared" si="3"/>
        <v>224194673</v>
      </c>
    </row>
    <row r="12" spans="1:9" s="200" customFormat="1" ht="42" customHeight="1" x14ac:dyDescent="0.2">
      <c r="A12" s="117" t="s">
        <v>540</v>
      </c>
      <c r="B12" s="612" t="s">
        <v>541</v>
      </c>
      <c r="C12" s="612"/>
      <c r="D12" s="203">
        <f t="shared" si="3"/>
        <v>230823280</v>
      </c>
      <c r="E12" s="203">
        <f t="shared" si="3"/>
        <v>-5599900</v>
      </c>
      <c r="F12" s="203">
        <f t="shared" si="3"/>
        <v>225223380</v>
      </c>
      <c r="G12" s="203">
        <f t="shared" si="3"/>
        <v>229348073</v>
      </c>
      <c r="H12" s="203">
        <f t="shared" si="3"/>
        <v>-5153400</v>
      </c>
      <c r="I12" s="203">
        <f t="shared" si="3"/>
        <v>224194673</v>
      </c>
    </row>
    <row r="13" spans="1:9" s="200" customFormat="1" ht="42" customHeight="1" x14ac:dyDescent="0.2">
      <c r="A13" s="117" t="s">
        <v>542</v>
      </c>
      <c r="B13" s="612" t="s">
        <v>543</v>
      </c>
      <c r="C13" s="612"/>
      <c r="D13" s="203">
        <f t="shared" si="3"/>
        <v>230823280</v>
      </c>
      <c r="E13" s="203">
        <f t="shared" si="3"/>
        <v>-5599900</v>
      </c>
      <c r="F13" s="203">
        <f t="shared" si="3"/>
        <v>225223380</v>
      </c>
      <c r="G13" s="203">
        <f t="shared" si="3"/>
        <v>229348073</v>
      </c>
      <c r="H13" s="203">
        <f t="shared" si="3"/>
        <v>-5153400</v>
      </c>
      <c r="I13" s="203">
        <f t="shared" si="3"/>
        <v>224194673</v>
      </c>
    </row>
    <row r="14" spans="1:9" s="200" customFormat="1" ht="42" customHeight="1" x14ac:dyDescent="0.2">
      <c r="A14" s="117" t="s">
        <v>544</v>
      </c>
      <c r="B14" s="612" t="s">
        <v>545</v>
      </c>
      <c r="C14" s="612"/>
      <c r="D14" s="203">
        <f>'7 Вед.15-16'!K305</f>
        <v>230823280</v>
      </c>
      <c r="E14" s="203">
        <f>'7 Вед.15-16'!L305</f>
        <v>-5599900</v>
      </c>
      <c r="F14" s="203">
        <f>'7 Вед.15-16'!M305</f>
        <v>225223380</v>
      </c>
      <c r="G14" s="203">
        <f>'7 Вед.15-16'!N305</f>
        <v>229348073</v>
      </c>
      <c r="H14" s="203">
        <f>'7 Вед.15-16'!O305</f>
        <v>-5153400</v>
      </c>
      <c r="I14" s="203">
        <f>'7 Вед.15-16'!P305</f>
        <v>224194673</v>
      </c>
    </row>
    <row r="15" spans="1:9" s="206" customFormat="1" ht="42" customHeight="1" x14ac:dyDescent="0.25">
      <c r="A15" s="204"/>
      <c r="B15" s="613" t="s">
        <v>546</v>
      </c>
      <c r="C15" s="613"/>
      <c r="D15" s="205">
        <f>D6</f>
        <v>0</v>
      </c>
      <c r="E15" s="205">
        <f t="shared" ref="E15:F15" si="4">E6</f>
        <v>0</v>
      </c>
      <c r="F15" s="205">
        <f t="shared" si="4"/>
        <v>0</v>
      </c>
      <c r="G15" s="205">
        <f>G6</f>
        <v>0</v>
      </c>
      <c r="H15" s="205">
        <f t="shared" ref="H15:I15" si="5">H6</f>
        <v>0</v>
      </c>
      <c r="I15" s="205">
        <f t="shared" si="5"/>
        <v>0</v>
      </c>
    </row>
    <row r="16" spans="1:9" x14ac:dyDescent="0.25">
      <c r="C16" s="199" t="s">
        <v>195</v>
      </c>
    </row>
    <row r="17" spans="3:6" x14ac:dyDescent="0.25">
      <c r="D17" s="207"/>
      <c r="E17" s="207"/>
      <c r="F17" s="207"/>
    </row>
    <row r="18" spans="3:6" x14ac:dyDescent="0.25">
      <c r="D18" s="207"/>
      <c r="E18" s="207"/>
      <c r="F18" s="207"/>
    </row>
    <row r="19" spans="3:6" x14ac:dyDescent="0.25">
      <c r="D19" s="207"/>
      <c r="E19" s="207"/>
      <c r="F19" s="207"/>
    </row>
    <row r="21" spans="3:6" x14ac:dyDescent="0.25">
      <c r="C21" s="208"/>
      <c r="D21" s="208"/>
      <c r="E21" s="208"/>
      <c r="F21" s="208"/>
    </row>
    <row r="25" spans="3:6" x14ac:dyDescent="0.25">
      <c r="C25" s="209"/>
      <c r="D25" s="209"/>
      <c r="E25" s="209"/>
      <c r="F25" s="209"/>
    </row>
  </sheetData>
  <mergeCells count="14">
    <mergeCell ref="B5:C5"/>
    <mergeCell ref="B6:C6"/>
    <mergeCell ref="B7:C7"/>
    <mergeCell ref="B14:C14"/>
    <mergeCell ref="C2:I2"/>
    <mergeCell ref="C1:I1"/>
    <mergeCell ref="A3:I3"/>
    <mergeCell ref="B15:C15"/>
    <mergeCell ref="B8:C8"/>
    <mergeCell ref="B9:C9"/>
    <mergeCell ref="B10:C10"/>
    <mergeCell ref="B11:C11"/>
    <mergeCell ref="B12:C12"/>
    <mergeCell ref="B13:C13"/>
  </mergeCells>
  <pageMargins left="0.9055118110236221" right="0.51181102362204722" top="0.35433070866141736"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F16" sqref="F16"/>
    </sheetView>
  </sheetViews>
  <sheetFormatPr defaultRowHeight="12.75" x14ac:dyDescent="0.2"/>
  <cols>
    <col min="1" max="1" width="8.5703125" style="179" customWidth="1"/>
    <col min="2" max="2" width="9.140625" style="179"/>
    <col min="3" max="3" width="14" style="179" customWidth="1"/>
    <col min="4" max="4" width="72" style="159" customWidth="1"/>
    <col min="5" max="255" width="9.140625" style="159"/>
    <col min="256" max="256" width="9" style="159" customWidth="1"/>
    <col min="257" max="257" width="9.140625" style="159"/>
    <col min="258" max="258" width="12.28515625" style="159" customWidth="1"/>
    <col min="259" max="259" width="55.5703125" style="159" customWidth="1"/>
    <col min="260" max="511" width="9.140625" style="159"/>
    <col min="512" max="512" width="9" style="159" customWidth="1"/>
    <col min="513" max="513" width="9.140625" style="159"/>
    <col min="514" max="514" width="12.28515625" style="159" customWidth="1"/>
    <col min="515" max="515" width="55.5703125" style="159" customWidth="1"/>
    <col min="516" max="767" width="9.140625" style="159"/>
    <col min="768" max="768" width="9" style="159" customWidth="1"/>
    <col min="769" max="769" width="9.140625" style="159"/>
    <col min="770" max="770" width="12.28515625" style="159" customWidth="1"/>
    <col min="771" max="771" width="55.5703125" style="159" customWidth="1"/>
    <col min="772" max="1023" width="9.140625" style="159"/>
    <col min="1024" max="1024" width="9" style="159" customWidth="1"/>
    <col min="1025" max="1025" width="9.140625" style="159"/>
    <col min="1026" max="1026" width="12.28515625" style="159" customWidth="1"/>
    <col min="1027" max="1027" width="55.5703125" style="159" customWidth="1"/>
    <col min="1028" max="1279" width="9.140625" style="159"/>
    <col min="1280" max="1280" width="9" style="159" customWidth="1"/>
    <col min="1281" max="1281" width="9.140625" style="159"/>
    <col min="1282" max="1282" width="12.28515625" style="159" customWidth="1"/>
    <col min="1283" max="1283" width="55.5703125" style="159" customWidth="1"/>
    <col min="1284" max="1535" width="9.140625" style="159"/>
    <col min="1536" max="1536" width="9" style="159" customWidth="1"/>
    <col min="1537" max="1537" width="9.140625" style="159"/>
    <col min="1538" max="1538" width="12.28515625" style="159" customWidth="1"/>
    <col min="1539" max="1539" width="55.5703125" style="159" customWidth="1"/>
    <col min="1540" max="1791" width="9.140625" style="159"/>
    <col min="1792" max="1792" width="9" style="159" customWidth="1"/>
    <col min="1793" max="1793" width="9.140625" style="159"/>
    <col min="1794" max="1794" width="12.28515625" style="159" customWidth="1"/>
    <col min="1795" max="1795" width="55.5703125" style="159" customWidth="1"/>
    <col min="1796" max="2047" width="9.140625" style="159"/>
    <col min="2048" max="2048" width="9" style="159" customWidth="1"/>
    <col min="2049" max="2049" width="9.140625" style="159"/>
    <col min="2050" max="2050" width="12.28515625" style="159" customWidth="1"/>
    <col min="2051" max="2051" width="55.5703125" style="159" customWidth="1"/>
    <col min="2052" max="2303" width="9.140625" style="159"/>
    <col min="2304" max="2304" width="9" style="159" customWidth="1"/>
    <col min="2305" max="2305" width="9.140625" style="159"/>
    <col min="2306" max="2306" width="12.28515625" style="159" customWidth="1"/>
    <col min="2307" max="2307" width="55.5703125" style="159" customWidth="1"/>
    <col min="2308" max="2559" width="9.140625" style="159"/>
    <col min="2560" max="2560" width="9" style="159" customWidth="1"/>
    <col min="2561" max="2561" width="9.140625" style="159"/>
    <col min="2562" max="2562" width="12.28515625" style="159" customWidth="1"/>
    <col min="2563" max="2563" width="55.5703125" style="159" customWidth="1"/>
    <col min="2564" max="2815" width="9.140625" style="159"/>
    <col min="2816" max="2816" width="9" style="159" customWidth="1"/>
    <col min="2817" max="2817" width="9.140625" style="159"/>
    <col min="2818" max="2818" width="12.28515625" style="159" customWidth="1"/>
    <col min="2819" max="2819" width="55.5703125" style="159" customWidth="1"/>
    <col min="2820" max="3071" width="9.140625" style="159"/>
    <col min="3072" max="3072" width="9" style="159" customWidth="1"/>
    <col min="3073" max="3073" width="9.140625" style="159"/>
    <col min="3074" max="3074" width="12.28515625" style="159" customWidth="1"/>
    <col min="3075" max="3075" width="55.5703125" style="159" customWidth="1"/>
    <col min="3076" max="3327" width="9.140625" style="159"/>
    <col min="3328" max="3328" width="9" style="159" customWidth="1"/>
    <col min="3329" max="3329" width="9.140625" style="159"/>
    <col min="3330" max="3330" width="12.28515625" style="159" customWidth="1"/>
    <col min="3331" max="3331" width="55.5703125" style="159" customWidth="1"/>
    <col min="3332" max="3583" width="9.140625" style="159"/>
    <col min="3584" max="3584" width="9" style="159" customWidth="1"/>
    <col min="3585" max="3585" width="9.140625" style="159"/>
    <col min="3586" max="3586" width="12.28515625" style="159" customWidth="1"/>
    <col min="3587" max="3587" width="55.5703125" style="159" customWidth="1"/>
    <col min="3588" max="3839" width="9.140625" style="159"/>
    <col min="3840" max="3840" width="9" style="159" customWidth="1"/>
    <col min="3841" max="3841" width="9.140625" style="159"/>
    <col min="3842" max="3842" width="12.28515625" style="159" customWidth="1"/>
    <col min="3843" max="3843" width="55.5703125" style="159" customWidth="1"/>
    <col min="3844" max="4095" width="9.140625" style="159"/>
    <col min="4096" max="4096" width="9" style="159" customWidth="1"/>
    <col min="4097" max="4097" width="9.140625" style="159"/>
    <col min="4098" max="4098" width="12.28515625" style="159" customWidth="1"/>
    <col min="4099" max="4099" width="55.5703125" style="159" customWidth="1"/>
    <col min="4100" max="4351" width="9.140625" style="159"/>
    <col min="4352" max="4352" width="9" style="159" customWidth="1"/>
    <col min="4353" max="4353" width="9.140625" style="159"/>
    <col min="4354" max="4354" width="12.28515625" style="159" customWidth="1"/>
    <col min="4355" max="4355" width="55.5703125" style="159" customWidth="1"/>
    <col min="4356" max="4607" width="9.140625" style="159"/>
    <col min="4608" max="4608" width="9" style="159" customWidth="1"/>
    <col min="4609" max="4609" width="9.140625" style="159"/>
    <col min="4610" max="4610" width="12.28515625" style="159" customWidth="1"/>
    <col min="4611" max="4611" width="55.5703125" style="159" customWidth="1"/>
    <col min="4612" max="4863" width="9.140625" style="159"/>
    <col min="4864" max="4864" width="9" style="159" customWidth="1"/>
    <col min="4865" max="4865" width="9.140625" style="159"/>
    <col min="4866" max="4866" width="12.28515625" style="159" customWidth="1"/>
    <col min="4867" max="4867" width="55.5703125" style="159" customWidth="1"/>
    <col min="4868" max="5119" width="9.140625" style="159"/>
    <col min="5120" max="5120" width="9" style="159" customWidth="1"/>
    <col min="5121" max="5121" width="9.140625" style="159"/>
    <col min="5122" max="5122" width="12.28515625" style="159" customWidth="1"/>
    <col min="5123" max="5123" width="55.5703125" style="159" customWidth="1"/>
    <col min="5124" max="5375" width="9.140625" style="159"/>
    <col min="5376" max="5376" width="9" style="159" customWidth="1"/>
    <col min="5377" max="5377" width="9.140625" style="159"/>
    <col min="5378" max="5378" width="12.28515625" style="159" customWidth="1"/>
    <col min="5379" max="5379" width="55.5703125" style="159" customWidth="1"/>
    <col min="5380" max="5631" width="9.140625" style="159"/>
    <col min="5632" max="5632" width="9" style="159" customWidth="1"/>
    <col min="5633" max="5633" width="9.140625" style="159"/>
    <col min="5634" max="5634" width="12.28515625" style="159" customWidth="1"/>
    <col min="5635" max="5635" width="55.5703125" style="159" customWidth="1"/>
    <col min="5636" max="5887" width="9.140625" style="159"/>
    <col min="5888" max="5888" width="9" style="159" customWidth="1"/>
    <col min="5889" max="5889" width="9.140625" style="159"/>
    <col min="5890" max="5890" width="12.28515625" style="159" customWidth="1"/>
    <col min="5891" max="5891" width="55.5703125" style="159" customWidth="1"/>
    <col min="5892" max="6143" width="9.140625" style="159"/>
    <col min="6144" max="6144" width="9" style="159" customWidth="1"/>
    <col min="6145" max="6145" width="9.140625" style="159"/>
    <col min="6146" max="6146" width="12.28515625" style="159" customWidth="1"/>
    <col min="6147" max="6147" width="55.5703125" style="159" customWidth="1"/>
    <col min="6148" max="6399" width="9.140625" style="159"/>
    <col min="6400" max="6400" width="9" style="159" customWidth="1"/>
    <col min="6401" max="6401" width="9.140625" style="159"/>
    <col min="6402" max="6402" width="12.28515625" style="159" customWidth="1"/>
    <col min="6403" max="6403" width="55.5703125" style="159" customWidth="1"/>
    <col min="6404" max="6655" width="9.140625" style="159"/>
    <col min="6656" max="6656" width="9" style="159" customWidth="1"/>
    <col min="6657" max="6657" width="9.140625" style="159"/>
    <col min="6658" max="6658" width="12.28515625" style="159" customWidth="1"/>
    <col min="6659" max="6659" width="55.5703125" style="159" customWidth="1"/>
    <col min="6660" max="6911" width="9.140625" style="159"/>
    <col min="6912" max="6912" width="9" style="159" customWidth="1"/>
    <col min="6913" max="6913" width="9.140625" style="159"/>
    <col min="6914" max="6914" width="12.28515625" style="159" customWidth="1"/>
    <col min="6915" max="6915" width="55.5703125" style="159" customWidth="1"/>
    <col min="6916" max="7167" width="9.140625" style="159"/>
    <col min="7168" max="7168" width="9" style="159" customWidth="1"/>
    <col min="7169" max="7169" width="9.140625" style="159"/>
    <col min="7170" max="7170" width="12.28515625" style="159" customWidth="1"/>
    <col min="7171" max="7171" width="55.5703125" style="159" customWidth="1"/>
    <col min="7172" max="7423" width="9.140625" style="159"/>
    <col min="7424" max="7424" width="9" style="159" customWidth="1"/>
    <col min="7425" max="7425" width="9.140625" style="159"/>
    <col min="7426" max="7426" width="12.28515625" style="159" customWidth="1"/>
    <col min="7427" max="7427" width="55.5703125" style="159" customWidth="1"/>
    <col min="7428" max="7679" width="9.140625" style="159"/>
    <col min="7680" max="7680" width="9" style="159" customWidth="1"/>
    <col min="7681" max="7681" width="9.140625" style="159"/>
    <col min="7682" max="7682" width="12.28515625" style="159" customWidth="1"/>
    <col min="7683" max="7683" width="55.5703125" style="159" customWidth="1"/>
    <col min="7684" max="7935" width="9.140625" style="159"/>
    <col min="7936" max="7936" width="9" style="159" customWidth="1"/>
    <col min="7937" max="7937" width="9.140625" style="159"/>
    <col min="7938" max="7938" width="12.28515625" style="159" customWidth="1"/>
    <col min="7939" max="7939" width="55.5703125" style="159" customWidth="1"/>
    <col min="7940" max="8191" width="9.140625" style="159"/>
    <col min="8192" max="8192" width="9" style="159" customWidth="1"/>
    <col min="8193" max="8193" width="9.140625" style="159"/>
    <col min="8194" max="8194" width="12.28515625" style="159" customWidth="1"/>
    <col min="8195" max="8195" width="55.5703125" style="159" customWidth="1"/>
    <col min="8196" max="8447" width="9.140625" style="159"/>
    <col min="8448" max="8448" width="9" style="159" customWidth="1"/>
    <col min="8449" max="8449" width="9.140625" style="159"/>
    <col min="8450" max="8450" width="12.28515625" style="159" customWidth="1"/>
    <col min="8451" max="8451" width="55.5703125" style="159" customWidth="1"/>
    <col min="8452" max="8703" width="9.140625" style="159"/>
    <col min="8704" max="8704" width="9" style="159" customWidth="1"/>
    <col min="8705" max="8705" width="9.140625" style="159"/>
    <col min="8706" max="8706" width="12.28515625" style="159" customWidth="1"/>
    <col min="8707" max="8707" width="55.5703125" style="159" customWidth="1"/>
    <col min="8708" max="8959" width="9.140625" style="159"/>
    <col min="8960" max="8960" width="9" style="159" customWidth="1"/>
    <col min="8961" max="8961" width="9.140625" style="159"/>
    <col min="8962" max="8962" width="12.28515625" style="159" customWidth="1"/>
    <col min="8963" max="8963" width="55.5703125" style="159" customWidth="1"/>
    <col min="8964" max="9215" width="9.140625" style="159"/>
    <col min="9216" max="9216" width="9" style="159" customWidth="1"/>
    <col min="9217" max="9217" width="9.140625" style="159"/>
    <col min="9218" max="9218" width="12.28515625" style="159" customWidth="1"/>
    <col min="9219" max="9219" width="55.5703125" style="159" customWidth="1"/>
    <col min="9220" max="9471" width="9.140625" style="159"/>
    <col min="9472" max="9472" width="9" style="159" customWidth="1"/>
    <col min="9473" max="9473" width="9.140625" style="159"/>
    <col min="9474" max="9474" width="12.28515625" style="159" customWidth="1"/>
    <col min="9475" max="9475" width="55.5703125" style="159" customWidth="1"/>
    <col min="9476" max="9727" width="9.140625" style="159"/>
    <col min="9728" max="9728" width="9" style="159" customWidth="1"/>
    <col min="9729" max="9729" width="9.140625" style="159"/>
    <col min="9730" max="9730" width="12.28515625" style="159" customWidth="1"/>
    <col min="9731" max="9731" width="55.5703125" style="159" customWidth="1"/>
    <col min="9732" max="9983" width="9.140625" style="159"/>
    <col min="9984" max="9984" width="9" style="159" customWidth="1"/>
    <col min="9985" max="9985" width="9.140625" style="159"/>
    <col min="9986" max="9986" width="12.28515625" style="159" customWidth="1"/>
    <col min="9987" max="9987" width="55.5703125" style="159" customWidth="1"/>
    <col min="9988" max="10239" width="9.140625" style="159"/>
    <col min="10240" max="10240" width="9" style="159" customWidth="1"/>
    <col min="10241" max="10241" width="9.140625" style="159"/>
    <col min="10242" max="10242" width="12.28515625" style="159" customWidth="1"/>
    <col min="10243" max="10243" width="55.5703125" style="159" customWidth="1"/>
    <col min="10244" max="10495" width="9.140625" style="159"/>
    <col min="10496" max="10496" width="9" style="159" customWidth="1"/>
    <col min="10497" max="10497" width="9.140625" style="159"/>
    <col min="10498" max="10498" width="12.28515625" style="159" customWidth="1"/>
    <col min="10499" max="10499" width="55.5703125" style="159" customWidth="1"/>
    <col min="10500" max="10751" width="9.140625" style="159"/>
    <col min="10752" max="10752" width="9" style="159" customWidth="1"/>
    <col min="10753" max="10753" width="9.140625" style="159"/>
    <col min="10754" max="10754" width="12.28515625" style="159" customWidth="1"/>
    <col min="10755" max="10755" width="55.5703125" style="159" customWidth="1"/>
    <col min="10756" max="11007" width="9.140625" style="159"/>
    <col min="11008" max="11008" width="9" style="159" customWidth="1"/>
    <col min="11009" max="11009" width="9.140625" style="159"/>
    <col min="11010" max="11010" width="12.28515625" style="159" customWidth="1"/>
    <col min="11011" max="11011" width="55.5703125" style="159" customWidth="1"/>
    <col min="11012" max="11263" width="9.140625" style="159"/>
    <col min="11264" max="11264" width="9" style="159" customWidth="1"/>
    <col min="11265" max="11265" width="9.140625" style="159"/>
    <col min="11266" max="11266" width="12.28515625" style="159" customWidth="1"/>
    <col min="11267" max="11267" width="55.5703125" style="159" customWidth="1"/>
    <col min="11268" max="11519" width="9.140625" style="159"/>
    <col min="11520" max="11520" width="9" style="159" customWidth="1"/>
    <col min="11521" max="11521" width="9.140625" style="159"/>
    <col min="11522" max="11522" width="12.28515625" style="159" customWidth="1"/>
    <col min="11523" max="11523" width="55.5703125" style="159" customWidth="1"/>
    <col min="11524" max="11775" width="9.140625" style="159"/>
    <col min="11776" max="11776" width="9" style="159" customWidth="1"/>
    <col min="11777" max="11777" width="9.140625" style="159"/>
    <col min="11778" max="11778" width="12.28515625" style="159" customWidth="1"/>
    <col min="11779" max="11779" width="55.5703125" style="159" customWidth="1"/>
    <col min="11780" max="12031" width="9.140625" style="159"/>
    <col min="12032" max="12032" width="9" style="159" customWidth="1"/>
    <col min="12033" max="12033" width="9.140625" style="159"/>
    <col min="12034" max="12034" width="12.28515625" style="159" customWidth="1"/>
    <col min="12035" max="12035" width="55.5703125" style="159" customWidth="1"/>
    <col min="12036" max="12287" width="9.140625" style="159"/>
    <col min="12288" max="12288" width="9" style="159" customWidth="1"/>
    <col min="12289" max="12289" width="9.140625" style="159"/>
    <col min="12290" max="12290" width="12.28515625" style="159" customWidth="1"/>
    <col min="12291" max="12291" width="55.5703125" style="159" customWidth="1"/>
    <col min="12292" max="12543" width="9.140625" style="159"/>
    <col min="12544" max="12544" width="9" style="159" customWidth="1"/>
    <col min="12545" max="12545" width="9.140625" style="159"/>
    <col min="12546" max="12546" width="12.28515625" style="159" customWidth="1"/>
    <col min="12547" max="12547" width="55.5703125" style="159" customWidth="1"/>
    <col min="12548" max="12799" width="9.140625" style="159"/>
    <col min="12800" max="12800" width="9" style="159" customWidth="1"/>
    <col min="12801" max="12801" width="9.140625" style="159"/>
    <col min="12802" max="12802" width="12.28515625" style="159" customWidth="1"/>
    <col min="12803" max="12803" width="55.5703125" style="159" customWidth="1"/>
    <col min="12804" max="13055" width="9.140625" style="159"/>
    <col min="13056" max="13056" width="9" style="159" customWidth="1"/>
    <col min="13057" max="13057" width="9.140625" style="159"/>
    <col min="13058" max="13058" width="12.28515625" style="159" customWidth="1"/>
    <col min="13059" max="13059" width="55.5703125" style="159" customWidth="1"/>
    <col min="13060" max="13311" width="9.140625" style="159"/>
    <col min="13312" max="13312" width="9" style="159" customWidth="1"/>
    <col min="13313" max="13313" width="9.140625" style="159"/>
    <col min="13314" max="13314" width="12.28515625" style="159" customWidth="1"/>
    <col min="13315" max="13315" width="55.5703125" style="159" customWidth="1"/>
    <col min="13316" max="13567" width="9.140625" style="159"/>
    <col min="13568" max="13568" width="9" style="159" customWidth="1"/>
    <col min="13569" max="13569" width="9.140625" style="159"/>
    <col min="13570" max="13570" width="12.28515625" style="159" customWidth="1"/>
    <col min="13571" max="13571" width="55.5703125" style="159" customWidth="1"/>
    <col min="13572" max="13823" width="9.140625" style="159"/>
    <col min="13824" max="13824" width="9" style="159" customWidth="1"/>
    <col min="13825" max="13825" width="9.140625" style="159"/>
    <col min="13826" max="13826" width="12.28515625" style="159" customWidth="1"/>
    <col min="13827" max="13827" width="55.5703125" style="159" customWidth="1"/>
    <col min="13828" max="14079" width="9.140625" style="159"/>
    <col min="14080" max="14080" width="9" style="159" customWidth="1"/>
    <col min="14081" max="14081" width="9.140625" style="159"/>
    <col min="14082" max="14082" width="12.28515625" style="159" customWidth="1"/>
    <col min="14083" max="14083" width="55.5703125" style="159" customWidth="1"/>
    <col min="14084" max="14335" width="9.140625" style="159"/>
    <col min="14336" max="14336" width="9" style="159" customWidth="1"/>
    <col min="14337" max="14337" width="9.140625" style="159"/>
    <col min="14338" max="14338" width="12.28515625" style="159" customWidth="1"/>
    <col min="14339" max="14339" width="55.5703125" style="159" customWidth="1"/>
    <col min="14340" max="14591" width="9.140625" style="159"/>
    <col min="14592" max="14592" width="9" style="159" customWidth="1"/>
    <col min="14593" max="14593" width="9.140625" style="159"/>
    <col min="14594" max="14594" width="12.28515625" style="159" customWidth="1"/>
    <col min="14595" max="14595" width="55.5703125" style="159" customWidth="1"/>
    <col min="14596" max="14847" width="9.140625" style="159"/>
    <col min="14848" max="14848" width="9" style="159" customWidth="1"/>
    <col min="14849" max="14849" width="9.140625" style="159"/>
    <col min="14850" max="14850" width="12.28515625" style="159" customWidth="1"/>
    <col min="14851" max="14851" width="55.5703125" style="159" customWidth="1"/>
    <col min="14852" max="15103" width="9.140625" style="159"/>
    <col min="15104" max="15104" width="9" style="159" customWidth="1"/>
    <col min="15105" max="15105" width="9.140625" style="159"/>
    <col min="15106" max="15106" width="12.28515625" style="159" customWidth="1"/>
    <col min="15107" max="15107" width="55.5703125" style="159" customWidth="1"/>
    <col min="15108" max="15359" width="9.140625" style="159"/>
    <col min="15360" max="15360" width="9" style="159" customWidth="1"/>
    <col min="15361" max="15361" width="9.140625" style="159"/>
    <col min="15362" max="15362" width="12.28515625" style="159" customWidth="1"/>
    <col min="15363" max="15363" width="55.5703125" style="159" customWidth="1"/>
    <col min="15364" max="15615" width="9.140625" style="159"/>
    <col min="15616" max="15616" width="9" style="159" customWidth="1"/>
    <col min="15617" max="15617" width="9.140625" style="159"/>
    <col min="15618" max="15618" width="12.28515625" style="159" customWidth="1"/>
    <col min="15619" max="15619" width="55.5703125" style="159" customWidth="1"/>
    <col min="15620" max="15871" width="9.140625" style="159"/>
    <col min="15872" max="15872" width="9" style="159" customWidth="1"/>
    <col min="15873" max="15873" width="9.140625" style="159"/>
    <col min="15874" max="15874" width="12.28515625" style="159" customWidth="1"/>
    <col min="15875" max="15875" width="55.5703125" style="159" customWidth="1"/>
    <col min="15876" max="16127" width="9.140625" style="159"/>
    <col min="16128" max="16128" width="9" style="159" customWidth="1"/>
    <col min="16129" max="16129" width="9.140625" style="159"/>
    <col min="16130" max="16130" width="12.28515625" style="159" customWidth="1"/>
    <col min="16131" max="16131" width="55.5703125" style="159" customWidth="1"/>
    <col min="16132" max="16384" width="9.140625" style="159"/>
  </cols>
  <sheetData>
    <row r="1" spans="1:6" x14ac:dyDescent="0.2">
      <c r="A1" s="60"/>
      <c r="B1" s="60"/>
      <c r="C1" s="60"/>
      <c r="D1" s="173" t="s">
        <v>550</v>
      </c>
    </row>
    <row r="2" spans="1:6" ht="51" customHeight="1" x14ac:dyDescent="0.2">
      <c r="A2" s="60"/>
      <c r="B2" s="60"/>
      <c r="C2" s="60"/>
      <c r="D2" s="178" t="s">
        <v>691</v>
      </c>
      <c r="E2" s="181"/>
    </row>
    <row r="3" spans="1:6" ht="31.5" customHeight="1" x14ac:dyDescent="0.2">
      <c r="A3" s="520" t="s">
        <v>441</v>
      </c>
      <c r="B3" s="520"/>
      <c r="C3" s="520"/>
      <c r="D3" s="520"/>
    </row>
    <row r="4" spans="1:6" x14ac:dyDescent="0.2">
      <c r="A4" s="60"/>
      <c r="B4" s="60"/>
      <c r="C4" s="60"/>
      <c r="D4" s="176"/>
    </row>
    <row r="5" spans="1:6" ht="30" customHeight="1" x14ac:dyDescent="0.2">
      <c r="A5" s="519" t="s">
        <v>327</v>
      </c>
      <c r="B5" s="519"/>
      <c r="C5" s="519"/>
      <c r="D5" s="521" t="s">
        <v>442</v>
      </c>
    </row>
    <row r="6" spans="1:6" ht="39.75" customHeight="1" x14ac:dyDescent="0.2">
      <c r="A6" s="177" t="s">
        <v>416</v>
      </c>
      <c r="B6" s="519" t="s">
        <v>693</v>
      </c>
      <c r="C6" s="519"/>
      <c r="D6" s="522"/>
      <c r="F6" s="159" t="s">
        <v>195</v>
      </c>
    </row>
    <row r="7" spans="1:6" ht="19.5" customHeight="1" x14ac:dyDescent="0.2">
      <c r="A7" s="523" t="s">
        <v>16</v>
      </c>
      <c r="B7" s="524"/>
      <c r="C7" s="524"/>
      <c r="D7" s="525"/>
    </row>
    <row r="8" spans="1:6" s="178" customFormat="1" ht="25.5" customHeight="1" x14ac:dyDescent="0.25">
      <c r="A8" s="248">
        <v>851</v>
      </c>
      <c r="B8" s="519" t="s">
        <v>443</v>
      </c>
      <c r="C8" s="519"/>
      <c r="D8" s="267" t="s">
        <v>444</v>
      </c>
    </row>
    <row r="9" spans="1:6" s="178" customFormat="1" ht="25.5" customHeight="1" x14ac:dyDescent="0.25">
      <c r="A9" s="248">
        <v>851</v>
      </c>
      <c r="B9" s="519" t="s">
        <v>445</v>
      </c>
      <c r="C9" s="519"/>
      <c r="D9" s="267" t="s">
        <v>444</v>
      </c>
    </row>
    <row r="10" spans="1:6" s="178" customFormat="1" ht="51" x14ac:dyDescent="0.25">
      <c r="A10" s="248">
        <v>851</v>
      </c>
      <c r="B10" s="519" t="s">
        <v>446</v>
      </c>
      <c r="C10" s="519"/>
      <c r="D10" s="267" t="s">
        <v>447</v>
      </c>
    </row>
    <row r="11" spans="1:6" s="178" customFormat="1" ht="51" x14ac:dyDescent="0.25">
      <c r="A11" s="248">
        <v>851</v>
      </c>
      <c r="B11" s="519" t="s">
        <v>448</v>
      </c>
      <c r="C11" s="519"/>
      <c r="D11" s="267" t="s">
        <v>449</v>
      </c>
    </row>
    <row r="12" spans="1:6" s="178" customFormat="1" ht="41.25" customHeight="1" x14ac:dyDescent="0.25">
      <c r="A12" s="248">
        <v>851</v>
      </c>
      <c r="B12" s="519" t="s">
        <v>450</v>
      </c>
      <c r="C12" s="519"/>
      <c r="D12" s="267" t="s">
        <v>451</v>
      </c>
    </row>
    <row r="13" spans="1:6" s="178" customFormat="1" ht="38.25" x14ac:dyDescent="0.25">
      <c r="A13" s="248">
        <v>851</v>
      </c>
      <c r="B13" s="519" t="s">
        <v>452</v>
      </c>
      <c r="C13" s="519"/>
      <c r="D13" s="267" t="s">
        <v>453</v>
      </c>
    </row>
    <row r="14" spans="1:6" s="178" customFormat="1" ht="51" x14ac:dyDescent="0.25">
      <c r="A14" s="248">
        <v>851</v>
      </c>
      <c r="B14" s="519" t="s">
        <v>454</v>
      </c>
      <c r="C14" s="519"/>
      <c r="D14" s="267" t="s">
        <v>455</v>
      </c>
    </row>
    <row r="15" spans="1:6" s="178" customFormat="1" ht="25.5" customHeight="1" x14ac:dyDescent="0.25">
      <c r="A15" s="248">
        <v>851</v>
      </c>
      <c r="B15" s="519" t="s">
        <v>456</v>
      </c>
      <c r="C15" s="519"/>
      <c r="D15" s="267" t="s">
        <v>457</v>
      </c>
    </row>
    <row r="16" spans="1:6" s="178" customFormat="1" ht="15.75" customHeight="1" x14ac:dyDescent="0.25">
      <c r="A16" s="248">
        <v>851</v>
      </c>
      <c r="B16" s="526" t="s">
        <v>458</v>
      </c>
      <c r="C16" s="527"/>
      <c r="D16" s="267" t="s">
        <v>459</v>
      </c>
    </row>
    <row r="17" spans="1:10" s="178" customFormat="1" ht="53.25" customHeight="1" x14ac:dyDescent="0.25">
      <c r="A17" s="248">
        <v>851</v>
      </c>
      <c r="B17" s="519" t="s">
        <v>460</v>
      </c>
      <c r="C17" s="519"/>
      <c r="D17" s="267" t="s">
        <v>461</v>
      </c>
    </row>
    <row r="18" spans="1:10" s="178" customFormat="1" ht="63.75" x14ac:dyDescent="0.25">
      <c r="A18" s="248">
        <v>851</v>
      </c>
      <c r="B18" s="519" t="s">
        <v>462</v>
      </c>
      <c r="C18" s="519"/>
      <c r="D18" s="267" t="s">
        <v>463</v>
      </c>
    </row>
    <row r="19" spans="1:10" s="178" customFormat="1" ht="63.75" x14ac:dyDescent="0.25">
      <c r="A19" s="248">
        <v>851</v>
      </c>
      <c r="B19" s="519" t="s">
        <v>464</v>
      </c>
      <c r="C19" s="519"/>
      <c r="D19" s="267" t="s">
        <v>465</v>
      </c>
    </row>
    <row r="20" spans="1:10" s="178" customFormat="1" ht="63.75" x14ac:dyDescent="0.25">
      <c r="A20" s="248">
        <v>851</v>
      </c>
      <c r="B20" s="519" t="s">
        <v>466</v>
      </c>
      <c r="C20" s="519"/>
      <c r="D20" s="267" t="s">
        <v>467</v>
      </c>
    </row>
    <row r="21" spans="1:10" s="178" customFormat="1" ht="25.5" customHeight="1" x14ac:dyDescent="0.25">
      <c r="A21" s="249">
        <v>851</v>
      </c>
      <c r="B21" s="528" t="s">
        <v>468</v>
      </c>
      <c r="C21" s="528"/>
      <c r="D21" s="166" t="s">
        <v>469</v>
      </c>
    </row>
    <row r="22" spans="1:10" s="178" customFormat="1" ht="25.5" customHeight="1" x14ac:dyDescent="0.25">
      <c r="A22" s="249">
        <v>851</v>
      </c>
      <c r="B22" s="529" t="s">
        <v>470</v>
      </c>
      <c r="C22" s="530"/>
      <c r="D22" s="166" t="s">
        <v>471</v>
      </c>
    </row>
    <row r="23" spans="1:10" s="178" customFormat="1" ht="25.5" customHeight="1" x14ac:dyDescent="0.25">
      <c r="A23" s="248">
        <v>851</v>
      </c>
      <c r="B23" s="519" t="s">
        <v>472</v>
      </c>
      <c r="C23" s="519"/>
      <c r="D23" s="267" t="s">
        <v>473</v>
      </c>
    </row>
    <row r="24" spans="1:10" s="178" customFormat="1" ht="51" x14ac:dyDescent="0.25">
      <c r="A24" s="296">
        <v>851</v>
      </c>
      <c r="B24" s="519" t="s">
        <v>474</v>
      </c>
      <c r="C24" s="519"/>
      <c r="D24" s="306" t="s">
        <v>475</v>
      </c>
    </row>
    <row r="25" spans="1:10" s="178" customFormat="1" ht="38.25" x14ac:dyDescent="0.25">
      <c r="A25" s="296">
        <v>851</v>
      </c>
      <c r="B25" s="519" t="s">
        <v>476</v>
      </c>
      <c r="C25" s="519"/>
      <c r="D25" s="306" t="s">
        <v>477</v>
      </c>
    </row>
    <row r="26" spans="1:10" s="178" customFormat="1" ht="38.25" x14ac:dyDescent="0.25">
      <c r="A26" s="248">
        <v>851</v>
      </c>
      <c r="B26" s="526" t="s">
        <v>478</v>
      </c>
      <c r="C26" s="527"/>
      <c r="D26" s="267" t="s">
        <v>515</v>
      </c>
      <c r="G26" s="178" t="s">
        <v>195</v>
      </c>
    </row>
    <row r="27" spans="1:10" s="178" customFormat="1" ht="25.5" customHeight="1" x14ac:dyDescent="0.25">
      <c r="A27" s="248">
        <v>851</v>
      </c>
      <c r="B27" s="519" t="s">
        <v>388</v>
      </c>
      <c r="C27" s="519"/>
      <c r="D27" s="267" t="s">
        <v>479</v>
      </c>
    </row>
    <row r="28" spans="1:10" s="178" customFormat="1" ht="15" customHeight="1" x14ac:dyDescent="0.25">
      <c r="A28" s="248">
        <v>851</v>
      </c>
      <c r="B28" s="528" t="s">
        <v>480</v>
      </c>
      <c r="C28" s="528"/>
      <c r="D28" s="267" t="s">
        <v>481</v>
      </c>
    </row>
    <row r="29" spans="1:10" s="178" customFormat="1" ht="16.5" customHeight="1" x14ac:dyDescent="0.25">
      <c r="A29" s="248">
        <v>851</v>
      </c>
      <c r="B29" s="528" t="s">
        <v>482</v>
      </c>
      <c r="C29" s="528"/>
      <c r="D29" s="267" t="s">
        <v>483</v>
      </c>
    </row>
    <row r="30" spans="1:10" s="178" customFormat="1" ht="18.75" customHeight="1" x14ac:dyDescent="0.25">
      <c r="A30" s="523" t="s">
        <v>156</v>
      </c>
      <c r="B30" s="531"/>
      <c r="C30" s="531"/>
      <c r="D30" s="531"/>
      <c r="J30" s="178" t="s">
        <v>195</v>
      </c>
    </row>
    <row r="31" spans="1:10" s="178" customFormat="1" ht="15.75" customHeight="1" x14ac:dyDescent="0.25">
      <c r="A31" s="248">
        <v>853</v>
      </c>
      <c r="B31" s="528" t="s">
        <v>458</v>
      </c>
      <c r="C31" s="528"/>
      <c r="D31" s="177" t="s">
        <v>257</v>
      </c>
    </row>
    <row r="32" spans="1:10" s="178" customFormat="1" ht="15.75" customHeight="1" x14ac:dyDescent="0.25">
      <c r="A32" s="248">
        <v>853</v>
      </c>
      <c r="B32" s="528" t="s">
        <v>480</v>
      </c>
      <c r="C32" s="528"/>
      <c r="D32" s="267" t="s">
        <v>481</v>
      </c>
    </row>
    <row r="33" spans="1:8" s="178" customFormat="1" ht="15.75" customHeight="1" x14ac:dyDescent="0.25">
      <c r="A33" s="248">
        <v>853</v>
      </c>
      <c r="B33" s="528" t="s">
        <v>482</v>
      </c>
      <c r="C33" s="528"/>
      <c r="D33" s="267" t="s">
        <v>483</v>
      </c>
    </row>
    <row r="34" spans="1:8" s="178" customFormat="1" ht="25.5" customHeight="1" x14ac:dyDescent="0.25">
      <c r="A34" s="248">
        <v>853</v>
      </c>
      <c r="B34" s="528" t="s">
        <v>283</v>
      </c>
      <c r="C34" s="528"/>
      <c r="D34" s="166" t="s">
        <v>284</v>
      </c>
    </row>
    <row r="35" spans="1:8" s="178" customFormat="1" ht="25.5" customHeight="1" x14ac:dyDescent="0.25">
      <c r="A35" s="248">
        <v>853</v>
      </c>
      <c r="B35" s="528" t="s">
        <v>287</v>
      </c>
      <c r="C35" s="528"/>
      <c r="D35" s="166" t="s">
        <v>288</v>
      </c>
    </row>
    <row r="36" spans="1:8" s="178" customFormat="1" ht="15.75" customHeight="1" x14ac:dyDescent="0.25">
      <c r="A36" s="248">
        <v>853</v>
      </c>
      <c r="B36" s="528" t="s">
        <v>484</v>
      </c>
      <c r="C36" s="532"/>
      <c r="D36" s="166" t="s">
        <v>485</v>
      </c>
    </row>
    <row r="37" spans="1:8" s="178" customFormat="1" ht="25.5" customHeight="1" x14ac:dyDescent="0.25">
      <c r="A37" s="248">
        <v>853</v>
      </c>
      <c r="B37" s="528" t="s">
        <v>486</v>
      </c>
      <c r="C37" s="519"/>
      <c r="D37" s="166" t="s">
        <v>487</v>
      </c>
    </row>
    <row r="38" spans="1:8" s="178" customFormat="1" ht="25.5" customHeight="1" x14ac:dyDescent="0.25">
      <c r="A38" s="248">
        <v>853</v>
      </c>
      <c r="B38" s="528" t="s">
        <v>488</v>
      </c>
      <c r="C38" s="519"/>
      <c r="D38" s="166" t="s">
        <v>489</v>
      </c>
    </row>
    <row r="39" spans="1:8" s="178" customFormat="1" ht="26.25" customHeight="1" x14ac:dyDescent="0.25">
      <c r="A39" s="248">
        <v>853</v>
      </c>
      <c r="B39" s="528" t="s">
        <v>490</v>
      </c>
      <c r="C39" s="519"/>
      <c r="D39" s="166" t="s">
        <v>491</v>
      </c>
    </row>
    <row r="40" spans="1:8" s="178" customFormat="1" ht="25.5" customHeight="1" x14ac:dyDescent="0.25">
      <c r="A40" s="248">
        <v>853</v>
      </c>
      <c r="B40" s="528" t="s">
        <v>492</v>
      </c>
      <c r="C40" s="528"/>
      <c r="D40" s="166" t="s">
        <v>493</v>
      </c>
      <c r="H40" s="178" t="s">
        <v>195</v>
      </c>
    </row>
    <row r="41" spans="1:8" s="178" customFormat="1" ht="18" customHeight="1" x14ac:dyDescent="0.25">
      <c r="A41" s="248">
        <v>853</v>
      </c>
      <c r="B41" s="528" t="s">
        <v>494</v>
      </c>
      <c r="C41" s="528"/>
      <c r="D41" s="267" t="s">
        <v>495</v>
      </c>
      <c r="F41" s="178" t="s">
        <v>195</v>
      </c>
    </row>
    <row r="42" spans="1:8" s="178" customFormat="1" ht="26.25" customHeight="1" x14ac:dyDescent="0.25">
      <c r="A42" s="248">
        <v>853</v>
      </c>
      <c r="B42" s="528" t="s">
        <v>496</v>
      </c>
      <c r="C42" s="528"/>
      <c r="D42" s="166" t="s">
        <v>497</v>
      </c>
    </row>
    <row r="43" spans="1:8" s="178" customFormat="1" ht="40.5" customHeight="1" x14ac:dyDescent="0.25">
      <c r="A43" s="180">
        <v>853</v>
      </c>
      <c r="B43" s="528" t="s">
        <v>498</v>
      </c>
      <c r="C43" s="528"/>
      <c r="D43" s="166" t="s">
        <v>499</v>
      </c>
    </row>
    <row r="44" spans="1:8" s="178" customFormat="1" ht="25.5" x14ac:dyDescent="0.25">
      <c r="A44" s="248">
        <v>853</v>
      </c>
      <c r="B44" s="528" t="s">
        <v>293</v>
      </c>
      <c r="C44" s="528"/>
      <c r="D44" s="267" t="s">
        <v>294</v>
      </c>
    </row>
    <row r="45" spans="1:8" s="178" customFormat="1" ht="37.5" customHeight="1" x14ac:dyDescent="0.25">
      <c r="A45" s="248">
        <v>853</v>
      </c>
      <c r="B45" s="528" t="s">
        <v>297</v>
      </c>
      <c r="C45" s="528"/>
      <c r="D45" s="267" t="s">
        <v>298</v>
      </c>
    </row>
    <row r="46" spans="1:8" s="178" customFormat="1" ht="25.5" x14ac:dyDescent="0.25">
      <c r="A46" s="248">
        <v>853</v>
      </c>
      <c r="B46" s="528" t="s">
        <v>301</v>
      </c>
      <c r="C46" s="528"/>
      <c r="D46" s="267" t="s">
        <v>302</v>
      </c>
      <c r="E46" s="178" t="s">
        <v>195</v>
      </c>
    </row>
    <row r="47" spans="1:8" s="178" customFormat="1" ht="51" customHeight="1" x14ac:dyDescent="0.25">
      <c r="A47" s="248">
        <v>853</v>
      </c>
      <c r="B47" s="528" t="s">
        <v>314</v>
      </c>
      <c r="C47" s="528"/>
      <c r="D47" s="267" t="s">
        <v>500</v>
      </c>
    </row>
    <row r="48" spans="1:8" s="178" customFormat="1" ht="39.75" customHeight="1" x14ac:dyDescent="0.25">
      <c r="A48" s="248">
        <v>853</v>
      </c>
      <c r="B48" s="528" t="s">
        <v>317</v>
      </c>
      <c r="C48" s="528"/>
      <c r="D48" s="267" t="s">
        <v>746</v>
      </c>
    </row>
    <row r="49" spans="1:9" s="178" customFormat="1" x14ac:dyDescent="0.25">
      <c r="A49" s="248">
        <v>853</v>
      </c>
      <c r="B49" s="528" t="s">
        <v>318</v>
      </c>
      <c r="C49" s="528"/>
      <c r="D49" s="267" t="s">
        <v>319</v>
      </c>
      <c r="I49" s="178" t="s">
        <v>195</v>
      </c>
    </row>
    <row r="50" spans="1:9" s="178" customFormat="1" ht="39.75" customHeight="1" x14ac:dyDescent="0.25">
      <c r="A50" s="248">
        <v>853</v>
      </c>
      <c r="B50" s="528" t="s">
        <v>324</v>
      </c>
      <c r="C50" s="528"/>
      <c r="D50" s="267" t="s">
        <v>325</v>
      </c>
    </row>
    <row r="51" spans="1:9" s="178" customFormat="1" ht="25.5" x14ac:dyDescent="0.25">
      <c r="A51" s="248">
        <v>853</v>
      </c>
      <c r="B51" s="528" t="s">
        <v>501</v>
      </c>
      <c r="C51" s="528"/>
      <c r="D51" s="267" t="s">
        <v>502</v>
      </c>
      <c r="E51" s="178" t="s">
        <v>195</v>
      </c>
    </row>
    <row r="52" spans="1:9" s="178" customFormat="1" ht="64.5" customHeight="1" x14ac:dyDescent="0.25">
      <c r="A52" s="248">
        <v>853</v>
      </c>
      <c r="B52" s="528" t="s">
        <v>503</v>
      </c>
      <c r="C52" s="528"/>
      <c r="D52" s="267" t="s">
        <v>504</v>
      </c>
    </row>
    <row r="53" spans="1:9" s="178" customFormat="1" ht="39" customHeight="1" x14ac:dyDescent="0.25">
      <c r="A53" s="249">
        <v>853</v>
      </c>
      <c r="B53" s="532" t="s">
        <v>505</v>
      </c>
      <c r="C53" s="532"/>
      <c r="D53" s="267" t="s">
        <v>506</v>
      </c>
      <c r="H53" s="178" t="s">
        <v>195</v>
      </c>
    </row>
    <row r="54" spans="1:9" s="178" customFormat="1" ht="38.25" x14ac:dyDescent="0.25">
      <c r="A54" s="249">
        <v>853</v>
      </c>
      <c r="B54" s="532" t="s">
        <v>507</v>
      </c>
      <c r="C54" s="532"/>
      <c r="D54" s="267" t="s">
        <v>508</v>
      </c>
    </row>
    <row r="55" spans="1:9" ht="25.5" customHeight="1" x14ac:dyDescent="0.2"/>
  </sheetData>
  <mergeCells count="52">
    <mergeCell ref="B51:C51"/>
    <mergeCell ref="B52:C52"/>
    <mergeCell ref="B53:C53"/>
    <mergeCell ref="B54:C54"/>
    <mergeCell ref="B50:C50"/>
    <mergeCell ref="B47:C47"/>
    <mergeCell ref="B48:C48"/>
    <mergeCell ref="B39:C39"/>
    <mergeCell ref="B40:C40"/>
    <mergeCell ref="B41:C41"/>
    <mergeCell ref="B42:C42"/>
    <mergeCell ref="B43:C43"/>
    <mergeCell ref="B49:C49"/>
    <mergeCell ref="B38:C38"/>
    <mergeCell ref="B27:C27"/>
    <mergeCell ref="B28:C28"/>
    <mergeCell ref="B29:C29"/>
    <mergeCell ref="A30:D30"/>
    <mergeCell ref="B31:C31"/>
    <mergeCell ref="B32:C32"/>
    <mergeCell ref="B33:C33"/>
    <mergeCell ref="B34:C34"/>
    <mergeCell ref="B35:C35"/>
    <mergeCell ref="B36:C36"/>
    <mergeCell ref="B37:C37"/>
    <mergeCell ref="B44:C44"/>
    <mergeCell ref="B45:C45"/>
    <mergeCell ref="B46:C46"/>
    <mergeCell ref="B26:C26"/>
    <mergeCell ref="B15:C15"/>
    <mergeCell ref="B16:C16"/>
    <mergeCell ref="B17:C17"/>
    <mergeCell ref="B18:C18"/>
    <mergeCell ref="B19:C19"/>
    <mergeCell ref="B20:C20"/>
    <mergeCell ref="B21:C21"/>
    <mergeCell ref="B22:C22"/>
    <mergeCell ref="B23:C23"/>
    <mergeCell ref="B24:C24"/>
    <mergeCell ref="B25:C25"/>
    <mergeCell ref="B14:C14"/>
    <mergeCell ref="A3:D3"/>
    <mergeCell ref="A5:C5"/>
    <mergeCell ref="D5:D6"/>
    <mergeCell ref="B6:C6"/>
    <mergeCell ref="A7:D7"/>
    <mergeCell ref="B8:C8"/>
    <mergeCell ref="B9:C9"/>
    <mergeCell ref="B10:C10"/>
    <mergeCell ref="B11:C11"/>
    <mergeCell ref="B12:C12"/>
    <mergeCell ref="B13:C13"/>
  </mergeCells>
  <pageMargins left="0.70866141732283472" right="0.51181102362204722" top="0.74803149606299213" bottom="0.5511811023622047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3" sqref="A3:D3"/>
    </sheetView>
  </sheetViews>
  <sheetFormatPr defaultRowHeight="12.75" x14ac:dyDescent="0.2"/>
  <cols>
    <col min="1" max="1" width="10" style="179" customWidth="1"/>
    <col min="2" max="2" width="9.140625" style="179"/>
    <col min="3" max="3" width="12.7109375" style="179" customWidth="1"/>
    <col min="4" max="4" width="69.42578125" style="159" customWidth="1"/>
    <col min="5" max="255" width="9.140625" style="159"/>
    <col min="256" max="256" width="9" style="159" customWidth="1"/>
    <col min="257" max="257" width="9.140625" style="159"/>
    <col min="258" max="258" width="12.28515625" style="159" customWidth="1"/>
    <col min="259" max="259" width="55.5703125" style="159" customWidth="1"/>
    <col min="260" max="511" width="9.140625" style="159"/>
    <col min="512" max="512" width="9" style="159" customWidth="1"/>
    <col min="513" max="513" width="9.140625" style="159"/>
    <col min="514" max="514" width="12.28515625" style="159" customWidth="1"/>
    <col min="515" max="515" width="55.5703125" style="159" customWidth="1"/>
    <col min="516" max="767" width="9.140625" style="159"/>
    <col min="768" max="768" width="9" style="159" customWidth="1"/>
    <col min="769" max="769" width="9.140625" style="159"/>
    <col min="770" max="770" width="12.28515625" style="159" customWidth="1"/>
    <col min="771" max="771" width="55.5703125" style="159" customWidth="1"/>
    <col min="772" max="1023" width="9.140625" style="159"/>
    <col min="1024" max="1024" width="9" style="159" customWidth="1"/>
    <col min="1025" max="1025" width="9.140625" style="159"/>
    <col min="1026" max="1026" width="12.28515625" style="159" customWidth="1"/>
    <col min="1027" max="1027" width="55.5703125" style="159" customWidth="1"/>
    <col min="1028" max="1279" width="9.140625" style="159"/>
    <col min="1280" max="1280" width="9" style="159" customWidth="1"/>
    <col min="1281" max="1281" width="9.140625" style="159"/>
    <col min="1282" max="1282" width="12.28515625" style="159" customWidth="1"/>
    <col min="1283" max="1283" width="55.5703125" style="159" customWidth="1"/>
    <col min="1284" max="1535" width="9.140625" style="159"/>
    <col min="1536" max="1536" width="9" style="159" customWidth="1"/>
    <col min="1537" max="1537" width="9.140625" style="159"/>
    <col min="1538" max="1538" width="12.28515625" style="159" customWidth="1"/>
    <col min="1539" max="1539" width="55.5703125" style="159" customWidth="1"/>
    <col min="1540" max="1791" width="9.140625" style="159"/>
    <col min="1792" max="1792" width="9" style="159" customWidth="1"/>
    <col min="1793" max="1793" width="9.140625" style="159"/>
    <col min="1794" max="1794" width="12.28515625" style="159" customWidth="1"/>
    <col min="1795" max="1795" width="55.5703125" style="159" customWidth="1"/>
    <col min="1796" max="2047" width="9.140625" style="159"/>
    <col min="2048" max="2048" width="9" style="159" customWidth="1"/>
    <col min="2049" max="2049" width="9.140625" style="159"/>
    <col min="2050" max="2050" width="12.28515625" style="159" customWidth="1"/>
    <col min="2051" max="2051" width="55.5703125" style="159" customWidth="1"/>
    <col min="2052" max="2303" width="9.140625" style="159"/>
    <col min="2304" max="2304" width="9" style="159" customWidth="1"/>
    <col min="2305" max="2305" width="9.140625" style="159"/>
    <col min="2306" max="2306" width="12.28515625" style="159" customWidth="1"/>
    <col min="2307" max="2307" width="55.5703125" style="159" customWidth="1"/>
    <col min="2308" max="2559" width="9.140625" style="159"/>
    <col min="2560" max="2560" width="9" style="159" customWidth="1"/>
    <col min="2561" max="2561" width="9.140625" style="159"/>
    <col min="2562" max="2562" width="12.28515625" style="159" customWidth="1"/>
    <col min="2563" max="2563" width="55.5703125" style="159" customWidth="1"/>
    <col min="2564" max="2815" width="9.140625" style="159"/>
    <col min="2816" max="2816" width="9" style="159" customWidth="1"/>
    <col min="2817" max="2817" width="9.140625" style="159"/>
    <col min="2818" max="2818" width="12.28515625" style="159" customWidth="1"/>
    <col min="2819" max="2819" width="55.5703125" style="159" customWidth="1"/>
    <col min="2820" max="3071" width="9.140625" style="159"/>
    <col min="3072" max="3072" width="9" style="159" customWidth="1"/>
    <col min="3073" max="3073" width="9.140625" style="159"/>
    <col min="3074" max="3074" width="12.28515625" style="159" customWidth="1"/>
    <col min="3075" max="3075" width="55.5703125" style="159" customWidth="1"/>
    <col min="3076" max="3327" width="9.140625" style="159"/>
    <col min="3328" max="3328" width="9" style="159" customWidth="1"/>
    <col min="3329" max="3329" width="9.140625" style="159"/>
    <col min="3330" max="3330" width="12.28515625" style="159" customWidth="1"/>
    <col min="3331" max="3331" width="55.5703125" style="159" customWidth="1"/>
    <col min="3332" max="3583" width="9.140625" style="159"/>
    <col min="3584" max="3584" width="9" style="159" customWidth="1"/>
    <col min="3585" max="3585" width="9.140625" style="159"/>
    <col min="3586" max="3586" width="12.28515625" style="159" customWidth="1"/>
    <col min="3587" max="3587" width="55.5703125" style="159" customWidth="1"/>
    <col min="3588" max="3839" width="9.140625" style="159"/>
    <col min="3840" max="3840" width="9" style="159" customWidth="1"/>
    <col min="3841" max="3841" width="9.140625" style="159"/>
    <col min="3842" max="3842" width="12.28515625" style="159" customWidth="1"/>
    <col min="3843" max="3843" width="55.5703125" style="159" customWidth="1"/>
    <col min="3844" max="4095" width="9.140625" style="159"/>
    <col min="4096" max="4096" width="9" style="159" customWidth="1"/>
    <col min="4097" max="4097" width="9.140625" style="159"/>
    <col min="4098" max="4098" width="12.28515625" style="159" customWidth="1"/>
    <col min="4099" max="4099" width="55.5703125" style="159" customWidth="1"/>
    <col min="4100" max="4351" width="9.140625" style="159"/>
    <col min="4352" max="4352" width="9" style="159" customWidth="1"/>
    <col min="4353" max="4353" width="9.140625" style="159"/>
    <col min="4354" max="4354" width="12.28515625" style="159" customWidth="1"/>
    <col min="4355" max="4355" width="55.5703125" style="159" customWidth="1"/>
    <col min="4356" max="4607" width="9.140625" style="159"/>
    <col min="4608" max="4608" width="9" style="159" customWidth="1"/>
    <col min="4609" max="4609" width="9.140625" style="159"/>
    <col min="4610" max="4610" width="12.28515625" style="159" customWidth="1"/>
    <col min="4611" max="4611" width="55.5703125" style="159" customWidth="1"/>
    <col min="4612" max="4863" width="9.140625" style="159"/>
    <col min="4864" max="4864" width="9" style="159" customWidth="1"/>
    <col min="4865" max="4865" width="9.140625" style="159"/>
    <col min="4866" max="4866" width="12.28515625" style="159" customWidth="1"/>
    <col min="4867" max="4867" width="55.5703125" style="159" customWidth="1"/>
    <col min="4868" max="5119" width="9.140625" style="159"/>
    <col min="5120" max="5120" width="9" style="159" customWidth="1"/>
    <col min="5121" max="5121" width="9.140625" style="159"/>
    <col min="5122" max="5122" width="12.28515625" style="159" customWidth="1"/>
    <col min="5123" max="5123" width="55.5703125" style="159" customWidth="1"/>
    <col min="5124" max="5375" width="9.140625" style="159"/>
    <col min="5376" max="5376" width="9" style="159" customWidth="1"/>
    <col min="5377" max="5377" width="9.140625" style="159"/>
    <col min="5378" max="5378" width="12.28515625" style="159" customWidth="1"/>
    <col min="5379" max="5379" width="55.5703125" style="159" customWidth="1"/>
    <col min="5380" max="5631" width="9.140625" style="159"/>
    <col min="5632" max="5632" width="9" style="159" customWidth="1"/>
    <col min="5633" max="5633" width="9.140625" style="159"/>
    <col min="5634" max="5634" width="12.28515625" style="159" customWidth="1"/>
    <col min="5635" max="5635" width="55.5703125" style="159" customWidth="1"/>
    <col min="5636" max="5887" width="9.140625" style="159"/>
    <col min="5888" max="5888" width="9" style="159" customWidth="1"/>
    <col min="5889" max="5889" width="9.140625" style="159"/>
    <col min="5890" max="5890" width="12.28515625" style="159" customWidth="1"/>
    <col min="5891" max="5891" width="55.5703125" style="159" customWidth="1"/>
    <col min="5892" max="6143" width="9.140625" style="159"/>
    <col min="6144" max="6144" width="9" style="159" customWidth="1"/>
    <col min="6145" max="6145" width="9.140625" style="159"/>
    <col min="6146" max="6146" width="12.28515625" style="159" customWidth="1"/>
    <col min="6147" max="6147" width="55.5703125" style="159" customWidth="1"/>
    <col min="6148" max="6399" width="9.140625" style="159"/>
    <col min="6400" max="6400" width="9" style="159" customWidth="1"/>
    <col min="6401" max="6401" width="9.140625" style="159"/>
    <col min="6402" max="6402" width="12.28515625" style="159" customWidth="1"/>
    <col min="6403" max="6403" width="55.5703125" style="159" customWidth="1"/>
    <col min="6404" max="6655" width="9.140625" style="159"/>
    <col min="6656" max="6656" width="9" style="159" customWidth="1"/>
    <col min="6657" max="6657" width="9.140625" style="159"/>
    <col min="6658" max="6658" width="12.28515625" style="159" customWidth="1"/>
    <col min="6659" max="6659" width="55.5703125" style="159" customWidth="1"/>
    <col min="6660" max="6911" width="9.140625" style="159"/>
    <col min="6912" max="6912" width="9" style="159" customWidth="1"/>
    <col min="6913" max="6913" width="9.140625" style="159"/>
    <col min="6914" max="6914" width="12.28515625" style="159" customWidth="1"/>
    <col min="6915" max="6915" width="55.5703125" style="159" customWidth="1"/>
    <col min="6916" max="7167" width="9.140625" style="159"/>
    <col min="7168" max="7168" width="9" style="159" customWidth="1"/>
    <col min="7169" max="7169" width="9.140625" style="159"/>
    <col min="7170" max="7170" width="12.28515625" style="159" customWidth="1"/>
    <col min="7171" max="7171" width="55.5703125" style="159" customWidth="1"/>
    <col min="7172" max="7423" width="9.140625" style="159"/>
    <col min="7424" max="7424" width="9" style="159" customWidth="1"/>
    <col min="7425" max="7425" width="9.140625" style="159"/>
    <col min="7426" max="7426" width="12.28515625" style="159" customWidth="1"/>
    <col min="7427" max="7427" width="55.5703125" style="159" customWidth="1"/>
    <col min="7428" max="7679" width="9.140625" style="159"/>
    <col min="7680" max="7680" width="9" style="159" customWidth="1"/>
    <col min="7681" max="7681" width="9.140625" style="159"/>
    <col min="7682" max="7682" width="12.28515625" style="159" customWidth="1"/>
    <col min="7683" max="7683" width="55.5703125" style="159" customWidth="1"/>
    <col min="7684" max="7935" width="9.140625" style="159"/>
    <col min="7936" max="7936" width="9" style="159" customWidth="1"/>
    <col min="7937" max="7937" width="9.140625" style="159"/>
    <col min="7938" max="7938" width="12.28515625" style="159" customWidth="1"/>
    <col min="7939" max="7939" width="55.5703125" style="159" customWidth="1"/>
    <col min="7940" max="8191" width="9.140625" style="159"/>
    <col min="8192" max="8192" width="9" style="159" customWidth="1"/>
    <col min="8193" max="8193" width="9.140625" style="159"/>
    <col min="8194" max="8194" width="12.28515625" style="159" customWidth="1"/>
    <col min="8195" max="8195" width="55.5703125" style="159" customWidth="1"/>
    <col min="8196" max="8447" width="9.140625" style="159"/>
    <col min="8448" max="8448" width="9" style="159" customWidth="1"/>
    <col min="8449" max="8449" width="9.140625" style="159"/>
    <col min="8450" max="8450" width="12.28515625" style="159" customWidth="1"/>
    <col min="8451" max="8451" width="55.5703125" style="159" customWidth="1"/>
    <col min="8452" max="8703" width="9.140625" style="159"/>
    <col min="8704" max="8704" width="9" style="159" customWidth="1"/>
    <col min="8705" max="8705" width="9.140625" style="159"/>
    <col min="8706" max="8706" width="12.28515625" style="159" customWidth="1"/>
    <col min="8707" max="8707" width="55.5703125" style="159" customWidth="1"/>
    <col min="8708" max="8959" width="9.140625" style="159"/>
    <col min="8960" max="8960" width="9" style="159" customWidth="1"/>
    <col min="8961" max="8961" width="9.140625" style="159"/>
    <col min="8962" max="8962" width="12.28515625" style="159" customWidth="1"/>
    <col min="8963" max="8963" width="55.5703125" style="159" customWidth="1"/>
    <col min="8964" max="9215" width="9.140625" style="159"/>
    <col min="9216" max="9216" width="9" style="159" customWidth="1"/>
    <col min="9217" max="9217" width="9.140625" style="159"/>
    <col min="9218" max="9218" width="12.28515625" style="159" customWidth="1"/>
    <col min="9219" max="9219" width="55.5703125" style="159" customWidth="1"/>
    <col min="9220" max="9471" width="9.140625" style="159"/>
    <col min="9472" max="9472" width="9" style="159" customWidth="1"/>
    <col min="9473" max="9473" width="9.140625" style="159"/>
    <col min="9474" max="9474" width="12.28515625" style="159" customWidth="1"/>
    <col min="9475" max="9475" width="55.5703125" style="159" customWidth="1"/>
    <col min="9476" max="9727" width="9.140625" style="159"/>
    <col min="9728" max="9728" width="9" style="159" customWidth="1"/>
    <col min="9729" max="9729" width="9.140625" style="159"/>
    <col min="9730" max="9730" width="12.28515625" style="159" customWidth="1"/>
    <col min="9731" max="9731" width="55.5703125" style="159" customWidth="1"/>
    <col min="9732" max="9983" width="9.140625" style="159"/>
    <col min="9984" max="9984" width="9" style="159" customWidth="1"/>
    <col min="9985" max="9985" width="9.140625" style="159"/>
    <col min="9986" max="9986" width="12.28515625" style="159" customWidth="1"/>
    <col min="9987" max="9987" width="55.5703125" style="159" customWidth="1"/>
    <col min="9988" max="10239" width="9.140625" style="159"/>
    <col min="10240" max="10240" width="9" style="159" customWidth="1"/>
    <col min="10241" max="10241" width="9.140625" style="159"/>
    <col min="10242" max="10242" width="12.28515625" style="159" customWidth="1"/>
    <col min="10243" max="10243" width="55.5703125" style="159" customWidth="1"/>
    <col min="10244" max="10495" width="9.140625" style="159"/>
    <col min="10496" max="10496" width="9" style="159" customWidth="1"/>
    <col min="10497" max="10497" width="9.140625" style="159"/>
    <col min="10498" max="10498" width="12.28515625" style="159" customWidth="1"/>
    <col min="10499" max="10499" width="55.5703125" style="159" customWidth="1"/>
    <col min="10500" max="10751" width="9.140625" style="159"/>
    <col min="10752" max="10752" width="9" style="159" customWidth="1"/>
    <col min="10753" max="10753" width="9.140625" style="159"/>
    <col min="10754" max="10754" width="12.28515625" style="159" customWidth="1"/>
    <col min="10755" max="10755" width="55.5703125" style="159" customWidth="1"/>
    <col min="10756" max="11007" width="9.140625" style="159"/>
    <col min="11008" max="11008" width="9" style="159" customWidth="1"/>
    <col min="11009" max="11009" width="9.140625" style="159"/>
    <col min="11010" max="11010" width="12.28515625" style="159" customWidth="1"/>
    <col min="11011" max="11011" width="55.5703125" style="159" customWidth="1"/>
    <col min="11012" max="11263" width="9.140625" style="159"/>
    <col min="11264" max="11264" width="9" style="159" customWidth="1"/>
    <col min="11265" max="11265" width="9.140625" style="159"/>
    <col min="11266" max="11266" width="12.28515625" style="159" customWidth="1"/>
    <col min="11267" max="11267" width="55.5703125" style="159" customWidth="1"/>
    <col min="11268" max="11519" width="9.140625" style="159"/>
    <col min="11520" max="11520" width="9" style="159" customWidth="1"/>
    <col min="11521" max="11521" width="9.140625" style="159"/>
    <col min="11522" max="11522" width="12.28515625" style="159" customWidth="1"/>
    <col min="11523" max="11523" width="55.5703125" style="159" customWidth="1"/>
    <col min="11524" max="11775" width="9.140625" style="159"/>
    <col min="11776" max="11776" width="9" style="159" customWidth="1"/>
    <col min="11777" max="11777" width="9.140625" style="159"/>
    <col min="11778" max="11778" width="12.28515625" style="159" customWidth="1"/>
    <col min="11779" max="11779" width="55.5703125" style="159" customWidth="1"/>
    <col min="11780" max="12031" width="9.140625" style="159"/>
    <col min="12032" max="12032" width="9" style="159" customWidth="1"/>
    <col min="12033" max="12033" width="9.140625" style="159"/>
    <col min="12034" max="12034" width="12.28515625" style="159" customWidth="1"/>
    <col min="12035" max="12035" width="55.5703125" style="159" customWidth="1"/>
    <col min="12036" max="12287" width="9.140625" style="159"/>
    <col min="12288" max="12288" width="9" style="159" customWidth="1"/>
    <col min="12289" max="12289" width="9.140625" style="159"/>
    <col min="12290" max="12290" width="12.28515625" style="159" customWidth="1"/>
    <col min="12291" max="12291" width="55.5703125" style="159" customWidth="1"/>
    <col min="12292" max="12543" width="9.140625" style="159"/>
    <col min="12544" max="12544" width="9" style="159" customWidth="1"/>
    <col min="12545" max="12545" width="9.140625" style="159"/>
    <col min="12546" max="12546" width="12.28515625" style="159" customWidth="1"/>
    <col min="12547" max="12547" width="55.5703125" style="159" customWidth="1"/>
    <col min="12548" max="12799" width="9.140625" style="159"/>
    <col min="12800" max="12800" width="9" style="159" customWidth="1"/>
    <col min="12801" max="12801" width="9.140625" style="159"/>
    <col min="12802" max="12802" width="12.28515625" style="159" customWidth="1"/>
    <col min="12803" max="12803" width="55.5703125" style="159" customWidth="1"/>
    <col min="12804" max="13055" width="9.140625" style="159"/>
    <col min="13056" max="13056" width="9" style="159" customWidth="1"/>
    <col min="13057" max="13057" width="9.140625" style="159"/>
    <col min="13058" max="13058" width="12.28515625" style="159" customWidth="1"/>
    <col min="13059" max="13059" width="55.5703125" style="159" customWidth="1"/>
    <col min="13060" max="13311" width="9.140625" style="159"/>
    <col min="13312" max="13312" width="9" style="159" customWidth="1"/>
    <col min="13313" max="13313" width="9.140625" style="159"/>
    <col min="13314" max="13314" width="12.28515625" style="159" customWidth="1"/>
    <col min="13315" max="13315" width="55.5703125" style="159" customWidth="1"/>
    <col min="13316" max="13567" width="9.140625" style="159"/>
    <col min="13568" max="13568" width="9" style="159" customWidth="1"/>
    <col min="13569" max="13569" width="9.140625" style="159"/>
    <col min="13570" max="13570" width="12.28515625" style="159" customWidth="1"/>
    <col min="13571" max="13571" width="55.5703125" style="159" customWidth="1"/>
    <col min="13572" max="13823" width="9.140625" style="159"/>
    <col min="13824" max="13824" width="9" style="159" customWidth="1"/>
    <col min="13825" max="13825" width="9.140625" style="159"/>
    <col min="13826" max="13826" width="12.28515625" style="159" customWidth="1"/>
    <col min="13827" max="13827" width="55.5703125" style="159" customWidth="1"/>
    <col min="13828" max="14079" width="9.140625" style="159"/>
    <col min="14080" max="14080" width="9" style="159" customWidth="1"/>
    <col min="14081" max="14081" width="9.140625" style="159"/>
    <col min="14082" max="14082" width="12.28515625" style="159" customWidth="1"/>
    <col min="14083" max="14083" width="55.5703125" style="159" customWidth="1"/>
    <col min="14084" max="14335" width="9.140625" style="159"/>
    <col min="14336" max="14336" width="9" style="159" customWidth="1"/>
    <col min="14337" max="14337" width="9.140625" style="159"/>
    <col min="14338" max="14338" width="12.28515625" style="159" customWidth="1"/>
    <col min="14339" max="14339" width="55.5703125" style="159" customWidth="1"/>
    <col min="14340" max="14591" width="9.140625" style="159"/>
    <col min="14592" max="14592" width="9" style="159" customWidth="1"/>
    <col min="14593" max="14593" width="9.140625" style="159"/>
    <col min="14594" max="14594" width="12.28515625" style="159" customWidth="1"/>
    <col min="14595" max="14595" width="55.5703125" style="159" customWidth="1"/>
    <col min="14596" max="14847" width="9.140625" style="159"/>
    <col min="14848" max="14848" width="9" style="159" customWidth="1"/>
    <col min="14849" max="14849" width="9.140625" style="159"/>
    <col min="14850" max="14850" width="12.28515625" style="159" customWidth="1"/>
    <col min="14851" max="14851" width="55.5703125" style="159" customWidth="1"/>
    <col min="14852" max="15103" width="9.140625" style="159"/>
    <col min="15104" max="15104" width="9" style="159" customWidth="1"/>
    <col min="15105" max="15105" width="9.140625" style="159"/>
    <col min="15106" max="15106" width="12.28515625" style="159" customWidth="1"/>
    <col min="15107" max="15107" width="55.5703125" style="159" customWidth="1"/>
    <col min="15108" max="15359" width="9.140625" style="159"/>
    <col min="15360" max="15360" width="9" style="159" customWidth="1"/>
    <col min="15361" max="15361" width="9.140625" style="159"/>
    <col min="15362" max="15362" width="12.28515625" style="159" customWidth="1"/>
    <col min="15363" max="15363" width="55.5703125" style="159" customWidth="1"/>
    <col min="15364" max="15615" width="9.140625" style="159"/>
    <col min="15616" max="15616" width="9" style="159" customWidth="1"/>
    <col min="15617" max="15617" width="9.140625" style="159"/>
    <col min="15618" max="15618" width="12.28515625" style="159" customWidth="1"/>
    <col min="15619" max="15619" width="55.5703125" style="159" customWidth="1"/>
    <col min="15620" max="15871" width="9.140625" style="159"/>
    <col min="15872" max="15872" width="9" style="159" customWidth="1"/>
    <col min="15873" max="15873" width="9.140625" style="159"/>
    <col min="15874" max="15874" width="12.28515625" style="159" customWidth="1"/>
    <col min="15875" max="15875" width="55.5703125" style="159" customWidth="1"/>
    <col min="15876" max="16127" width="9.140625" style="159"/>
    <col min="16128" max="16128" width="9" style="159" customWidth="1"/>
    <col min="16129" max="16129" width="9.140625" style="159"/>
    <col min="16130" max="16130" width="12.28515625" style="159" customWidth="1"/>
    <col min="16131" max="16131" width="55.5703125" style="159" customWidth="1"/>
    <col min="16132" max="16384" width="9.140625" style="159"/>
  </cols>
  <sheetData>
    <row r="1" spans="1:6" x14ac:dyDescent="0.2">
      <c r="A1" s="60"/>
      <c r="B1" s="60"/>
      <c r="C1" s="60"/>
      <c r="D1" s="173" t="s">
        <v>674</v>
      </c>
    </row>
    <row r="2" spans="1:6" ht="53.25" customHeight="1" x14ac:dyDescent="0.2">
      <c r="A2" s="60"/>
      <c r="B2" s="60"/>
      <c r="C2" s="60"/>
      <c r="D2" s="178" t="s">
        <v>691</v>
      </c>
      <c r="E2" s="181"/>
    </row>
    <row r="3" spans="1:6" ht="54.75" customHeight="1" x14ac:dyDescent="0.2">
      <c r="A3" s="520" t="s">
        <v>692</v>
      </c>
      <c r="B3" s="520"/>
      <c r="C3" s="520"/>
      <c r="D3" s="520"/>
    </row>
    <row r="4" spans="1:6" x14ac:dyDescent="0.2">
      <c r="A4" s="60"/>
      <c r="B4" s="60"/>
      <c r="C4" s="60"/>
      <c r="D4" s="176"/>
    </row>
    <row r="5" spans="1:6" ht="31.5" customHeight="1" x14ac:dyDescent="0.2">
      <c r="A5" s="519" t="s">
        <v>327</v>
      </c>
      <c r="B5" s="519"/>
      <c r="C5" s="519"/>
      <c r="D5" s="534" t="s">
        <v>436</v>
      </c>
    </row>
    <row r="6" spans="1:6" ht="63.75" customHeight="1" x14ac:dyDescent="0.2">
      <c r="A6" s="177" t="s">
        <v>437</v>
      </c>
      <c r="B6" s="519" t="s">
        <v>438</v>
      </c>
      <c r="C6" s="519"/>
      <c r="D6" s="534"/>
      <c r="F6" s="159" t="s">
        <v>195</v>
      </c>
    </row>
    <row r="7" spans="1:6" ht="30" customHeight="1" x14ac:dyDescent="0.2">
      <c r="A7" s="535" t="s">
        <v>16</v>
      </c>
      <c r="B7" s="536"/>
      <c r="C7" s="536"/>
      <c r="D7" s="536"/>
    </row>
    <row r="8" spans="1:6" s="178" customFormat="1" ht="53.25" customHeight="1" x14ac:dyDescent="0.25">
      <c r="A8" s="248">
        <v>803</v>
      </c>
      <c r="B8" s="519" t="s">
        <v>439</v>
      </c>
      <c r="C8" s="519"/>
      <c r="D8" s="267" t="s">
        <v>440</v>
      </c>
    </row>
    <row r="10" spans="1:6" ht="65.25" customHeight="1" x14ac:dyDescent="0.2">
      <c r="A10" s="517" t="s">
        <v>675</v>
      </c>
      <c r="B10" s="533"/>
      <c r="C10" s="533"/>
      <c r="D10" s="533"/>
    </row>
  </sheetData>
  <mergeCells count="7">
    <mergeCell ref="A10:D10"/>
    <mergeCell ref="A3:D3"/>
    <mergeCell ref="A5:C5"/>
    <mergeCell ref="D5:D6"/>
    <mergeCell ref="B6:C6"/>
    <mergeCell ref="A7:D7"/>
    <mergeCell ref="B8:C8"/>
  </mergeCells>
  <pageMargins left="0.70866141732283472" right="0.51181102362204722" top="0.55118110236220474"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8" workbookViewId="0">
      <selection activeCell="C49" sqref="C49"/>
    </sheetView>
  </sheetViews>
  <sheetFormatPr defaultRowHeight="15" x14ac:dyDescent="0.2"/>
  <cols>
    <col min="1" max="1" width="12.42578125" style="161" customWidth="1"/>
    <col min="2" max="2" width="27" style="161" customWidth="1"/>
    <col min="3" max="3" width="60.5703125" style="162" customWidth="1"/>
    <col min="4" max="16384" width="9.140625" style="162"/>
  </cols>
  <sheetData>
    <row r="1" spans="1:6" x14ac:dyDescent="0.2">
      <c r="C1" s="3" t="s">
        <v>551</v>
      </c>
    </row>
    <row r="2" spans="1:6" ht="54" customHeight="1" x14ac:dyDescent="0.2">
      <c r="C2" s="178" t="s">
        <v>691</v>
      </c>
      <c r="D2" s="181"/>
    </row>
    <row r="3" spans="1:6" ht="35.25" customHeight="1" x14ac:dyDescent="0.2">
      <c r="A3" s="542" t="s">
        <v>509</v>
      </c>
      <c r="B3" s="542"/>
      <c r="C3" s="542"/>
    </row>
    <row r="4" spans="1:6" s="159" customFormat="1" ht="33.75" customHeight="1" x14ac:dyDescent="0.2">
      <c r="A4" s="546" t="s">
        <v>327</v>
      </c>
      <c r="B4" s="546"/>
      <c r="C4" s="546" t="s">
        <v>380</v>
      </c>
    </row>
    <row r="5" spans="1:6" s="159" customFormat="1" ht="25.5" x14ac:dyDescent="0.2">
      <c r="A5" s="160" t="s">
        <v>416</v>
      </c>
      <c r="B5" s="250" t="s">
        <v>415</v>
      </c>
      <c r="C5" s="546"/>
    </row>
    <row r="6" spans="1:6" s="158" customFormat="1" ht="21" customHeight="1" x14ac:dyDescent="0.2">
      <c r="A6" s="538" t="s">
        <v>381</v>
      </c>
      <c r="B6" s="538"/>
      <c r="C6" s="538"/>
    </row>
    <row r="7" spans="1:6" s="158" customFormat="1" ht="35.25" customHeight="1" x14ac:dyDescent="0.2">
      <c r="A7" s="280" t="s">
        <v>676</v>
      </c>
      <c r="B7" s="250" t="s">
        <v>382</v>
      </c>
      <c r="C7" s="182" t="s">
        <v>244</v>
      </c>
    </row>
    <row r="8" spans="1:6" s="158" customFormat="1" ht="35.25" customHeight="1" x14ac:dyDescent="0.2">
      <c r="A8" s="250" t="s">
        <v>195</v>
      </c>
      <c r="B8" s="250" t="s">
        <v>383</v>
      </c>
      <c r="C8" s="182" t="s">
        <v>384</v>
      </c>
    </row>
    <row r="9" spans="1:6" s="158" customFormat="1" ht="35.25" customHeight="1" x14ac:dyDescent="0.2">
      <c r="A9" s="250" t="s">
        <v>195</v>
      </c>
      <c r="B9" s="250" t="s">
        <v>385</v>
      </c>
      <c r="C9" s="182" t="s">
        <v>248</v>
      </c>
    </row>
    <row r="10" spans="1:6" s="158" customFormat="1" ht="35.25" customHeight="1" x14ac:dyDescent="0.2">
      <c r="A10" s="250" t="s">
        <v>195</v>
      </c>
      <c r="B10" s="250" t="s">
        <v>386</v>
      </c>
      <c r="C10" s="182" t="s">
        <v>387</v>
      </c>
    </row>
    <row r="11" spans="1:6" s="158" customFormat="1" ht="28.5" customHeight="1" x14ac:dyDescent="0.2">
      <c r="A11" s="538" t="s">
        <v>389</v>
      </c>
      <c r="B11" s="538"/>
      <c r="C11" s="538"/>
    </row>
    <row r="12" spans="1:6" s="158" customFormat="1" ht="48" customHeight="1" x14ac:dyDescent="0.2">
      <c r="A12" s="250">
        <v>141</v>
      </c>
      <c r="B12" s="250" t="s">
        <v>390</v>
      </c>
      <c r="C12" s="182" t="s">
        <v>391</v>
      </c>
    </row>
    <row r="13" spans="1:6" s="158" customFormat="1" ht="33.75" customHeight="1" x14ac:dyDescent="0.2">
      <c r="A13" s="543" t="s">
        <v>677</v>
      </c>
      <c r="B13" s="544"/>
      <c r="C13" s="545"/>
    </row>
    <row r="14" spans="1:6" s="158" customFormat="1" ht="53.25" customHeight="1" x14ac:dyDescent="0.2">
      <c r="A14" s="250">
        <v>100</v>
      </c>
      <c r="B14" s="250" t="s">
        <v>678</v>
      </c>
      <c r="C14" s="182" t="s">
        <v>629</v>
      </c>
    </row>
    <row r="15" spans="1:6" s="158" customFormat="1" ht="60.75" customHeight="1" x14ac:dyDescent="0.2">
      <c r="A15" s="250">
        <v>100</v>
      </c>
      <c r="B15" s="250" t="s">
        <v>679</v>
      </c>
      <c r="C15" s="182" t="s">
        <v>680</v>
      </c>
      <c r="F15" s="158" t="s">
        <v>195</v>
      </c>
    </row>
    <row r="16" spans="1:6" s="158" customFormat="1" ht="60" customHeight="1" x14ac:dyDescent="0.2">
      <c r="A16" s="250">
        <v>100</v>
      </c>
      <c r="B16" s="250" t="s">
        <v>681</v>
      </c>
      <c r="C16" s="182" t="s">
        <v>682</v>
      </c>
      <c r="D16" s="158" t="s">
        <v>195</v>
      </c>
    </row>
    <row r="17" spans="1:6" s="158" customFormat="1" ht="48" customHeight="1" x14ac:dyDescent="0.2">
      <c r="A17" s="250">
        <v>100</v>
      </c>
      <c r="B17" s="250" t="s">
        <v>683</v>
      </c>
      <c r="C17" s="182" t="s">
        <v>684</v>
      </c>
      <c r="F17" s="158" t="s">
        <v>195</v>
      </c>
    </row>
    <row r="18" spans="1:6" s="158" customFormat="1" ht="27" customHeight="1" x14ac:dyDescent="0.2">
      <c r="A18" s="538" t="s">
        <v>392</v>
      </c>
      <c r="B18" s="538"/>
      <c r="C18" s="538"/>
    </row>
    <row r="19" spans="1:6" s="158" customFormat="1" ht="23.25" customHeight="1" x14ac:dyDescent="0.2">
      <c r="A19" s="250">
        <v>182</v>
      </c>
      <c r="B19" s="250" t="s">
        <v>393</v>
      </c>
      <c r="C19" s="183" t="s">
        <v>394</v>
      </c>
    </row>
    <row r="20" spans="1:6" s="158" customFormat="1" ht="33" customHeight="1" x14ac:dyDescent="0.2">
      <c r="A20" s="250">
        <v>182</v>
      </c>
      <c r="B20" s="250" t="s">
        <v>395</v>
      </c>
      <c r="C20" s="184" t="s">
        <v>396</v>
      </c>
    </row>
    <row r="21" spans="1:6" s="158" customFormat="1" ht="33" customHeight="1" x14ac:dyDescent="0.2">
      <c r="A21" s="250">
        <v>182</v>
      </c>
      <c r="B21" s="250" t="s">
        <v>397</v>
      </c>
      <c r="C21" s="184" t="s">
        <v>398</v>
      </c>
    </row>
    <row r="22" spans="1:6" s="158" customFormat="1" ht="33" customHeight="1" x14ac:dyDescent="0.2">
      <c r="A22" s="250">
        <v>182</v>
      </c>
      <c r="B22" s="250" t="s">
        <v>218</v>
      </c>
      <c r="C22" s="184" t="s">
        <v>399</v>
      </c>
    </row>
    <row r="23" spans="1:6" s="158" customFormat="1" ht="33" customHeight="1" x14ac:dyDescent="0.2">
      <c r="A23" s="250">
        <v>182</v>
      </c>
      <c r="B23" s="250" t="s">
        <v>400</v>
      </c>
      <c r="C23" s="183" t="s">
        <v>401</v>
      </c>
    </row>
    <row r="24" spans="1:6" s="158" customFormat="1" ht="33" customHeight="1" x14ac:dyDescent="0.2">
      <c r="A24" s="250">
        <v>182</v>
      </c>
      <c r="B24" s="250" t="s">
        <v>402</v>
      </c>
      <c r="C24" s="183" t="s">
        <v>403</v>
      </c>
    </row>
    <row r="25" spans="1:6" s="158" customFormat="1" ht="48.75" customHeight="1" x14ac:dyDescent="0.2">
      <c r="A25" s="250">
        <v>182</v>
      </c>
      <c r="B25" s="250" t="s">
        <v>404</v>
      </c>
      <c r="C25" s="184" t="s">
        <v>405</v>
      </c>
    </row>
    <row r="26" spans="1:6" s="158" customFormat="1" ht="33.75" customHeight="1" x14ac:dyDescent="0.2">
      <c r="A26" s="250">
        <v>182</v>
      </c>
      <c r="B26" s="250" t="s">
        <v>406</v>
      </c>
      <c r="C26" s="184" t="s">
        <v>407</v>
      </c>
    </row>
    <row r="27" spans="1:6" s="158" customFormat="1" ht="63" customHeight="1" x14ac:dyDescent="0.2">
      <c r="A27" s="250">
        <v>182</v>
      </c>
      <c r="B27" s="250" t="s">
        <v>685</v>
      </c>
      <c r="C27" s="184" t="s">
        <v>686</v>
      </c>
    </row>
    <row r="28" spans="1:6" s="158" customFormat="1" ht="57.75" customHeight="1" x14ac:dyDescent="0.2">
      <c r="A28" s="250">
        <v>182</v>
      </c>
      <c r="B28" s="250" t="s">
        <v>269</v>
      </c>
      <c r="C28" s="184" t="s">
        <v>687</v>
      </c>
    </row>
    <row r="29" spans="1:6" s="158" customFormat="1" ht="21.75" customHeight="1" x14ac:dyDescent="0.2">
      <c r="A29" s="538" t="s">
        <v>408</v>
      </c>
      <c r="B29" s="538"/>
      <c r="C29" s="538"/>
    </row>
    <row r="30" spans="1:6" s="158" customFormat="1" ht="44.25" customHeight="1" x14ac:dyDescent="0.2">
      <c r="A30" s="250">
        <v>188</v>
      </c>
      <c r="B30" s="250" t="s">
        <v>388</v>
      </c>
      <c r="C30" s="182" t="s">
        <v>510</v>
      </c>
    </row>
    <row r="31" spans="1:6" s="158" customFormat="1" ht="30.75" customHeight="1" x14ac:dyDescent="0.2">
      <c r="A31" s="538" t="s">
        <v>409</v>
      </c>
      <c r="B31" s="538"/>
      <c r="C31" s="538"/>
    </row>
    <row r="32" spans="1:6" s="158" customFormat="1" ht="89.25" x14ac:dyDescent="0.2">
      <c r="A32" s="250">
        <v>321</v>
      </c>
      <c r="B32" s="250" t="s">
        <v>410</v>
      </c>
      <c r="C32" s="185" t="s">
        <v>411</v>
      </c>
    </row>
    <row r="33" spans="1:6" s="158" customFormat="1" ht="33" customHeight="1" x14ac:dyDescent="0.2">
      <c r="A33" s="538" t="s">
        <v>412</v>
      </c>
      <c r="B33" s="538"/>
      <c r="C33" s="538"/>
    </row>
    <row r="34" spans="1:6" s="158" customFormat="1" ht="42" customHeight="1" x14ac:dyDescent="0.2">
      <c r="A34" s="250">
        <v>415</v>
      </c>
      <c r="B34" s="250" t="s">
        <v>413</v>
      </c>
      <c r="C34" s="182" t="s">
        <v>513</v>
      </c>
    </row>
    <row r="35" spans="1:6" s="158" customFormat="1" ht="33" customHeight="1" x14ac:dyDescent="0.2">
      <c r="A35" s="539" t="s">
        <v>512</v>
      </c>
      <c r="B35" s="540"/>
      <c r="C35" s="541"/>
    </row>
    <row r="36" spans="1:6" s="158" customFormat="1" ht="42.75" customHeight="1" x14ac:dyDescent="0.2">
      <c r="A36" s="160">
        <v>805</v>
      </c>
      <c r="B36" s="160" t="s">
        <v>413</v>
      </c>
      <c r="C36" s="182" t="s">
        <v>511</v>
      </c>
    </row>
    <row r="37" spans="1:6" s="158" customFormat="1" ht="32.25" customHeight="1" x14ac:dyDescent="0.2">
      <c r="A37" s="538" t="s">
        <v>414</v>
      </c>
      <c r="B37" s="538"/>
      <c r="C37" s="538"/>
    </row>
    <row r="38" spans="1:6" s="158" customFormat="1" ht="38.25" x14ac:dyDescent="0.2">
      <c r="A38" s="250">
        <v>810</v>
      </c>
      <c r="B38" s="250" t="s">
        <v>413</v>
      </c>
      <c r="C38" s="182" t="s">
        <v>511</v>
      </c>
    </row>
    <row r="39" spans="1:6" s="158" customFormat="1" ht="14.25" x14ac:dyDescent="0.2">
      <c r="A39" s="179"/>
      <c r="B39" s="179"/>
      <c r="C39" s="159"/>
    </row>
    <row r="40" spans="1:6" s="158" customFormat="1" ht="52.5" customHeight="1" x14ac:dyDescent="0.2">
      <c r="A40" s="537" t="s">
        <v>514</v>
      </c>
      <c r="B40" s="537"/>
      <c r="C40" s="537"/>
    </row>
    <row r="41" spans="1:6" s="158" customFormat="1" ht="72.75" customHeight="1" x14ac:dyDescent="0.2">
      <c r="A41" s="537" t="s">
        <v>688</v>
      </c>
      <c r="B41" s="537"/>
      <c r="C41" s="537"/>
    </row>
    <row r="42" spans="1:6" ht="63.75" customHeight="1" x14ac:dyDescent="0.2">
      <c r="A42" s="537" t="s">
        <v>689</v>
      </c>
      <c r="B42" s="537"/>
      <c r="C42" s="537"/>
    </row>
    <row r="43" spans="1:6" ht="18.75" x14ac:dyDescent="0.2">
      <c r="A43" s="186" t="s">
        <v>195</v>
      </c>
      <c r="B43" s="179"/>
      <c r="C43" s="159"/>
      <c r="F43" s="162" t="s">
        <v>195</v>
      </c>
    </row>
    <row r="44" spans="1:6" x14ac:dyDescent="0.2">
      <c r="A44" s="179"/>
      <c r="B44" s="179"/>
      <c r="C44" s="159"/>
    </row>
  </sheetData>
  <mergeCells count="15">
    <mergeCell ref="A3:C3"/>
    <mergeCell ref="A37:C37"/>
    <mergeCell ref="A6:C6"/>
    <mergeCell ref="A11:C11"/>
    <mergeCell ref="A13:C13"/>
    <mergeCell ref="A4:B4"/>
    <mergeCell ref="C4:C5"/>
    <mergeCell ref="A18:C18"/>
    <mergeCell ref="A29:C29"/>
    <mergeCell ref="A42:C42"/>
    <mergeCell ref="A31:C31"/>
    <mergeCell ref="A33:C33"/>
    <mergeCell ref="A35:C35"/>
    <mergeCell ref="A40:C40"/>
    <mergeCell ref="A41:C41"/>
  </mergeCells>
  <hyperlinks>
    <hyperlink ref="C19" r:id="rId1" display="consultantplus://offline/ref=E88F0C8B57259A8E16544F9DC27CADC22B5729ED2611768BD70DA245F7B40A830CAE0EEB7020B4B475BE71c8fBK"/>
    <hyperlink ref="C23" r:id="rId2" display="consultantplus://offline/ref=E88F0C8B57259A8E16544F9DC27CADC22B5729ED2611768BD70DA245F7B40A830CAE0EEB7020B4B475BE71c8fBK"/>
    <hyperlink ref="C24" r:id="rId3" display="consultantplus://offline/ref=E88F0C8B57259A8E16544F9DC27CADC22B5729ED2611768BD70DA245F7B40A830CAE0EEB7020B4B475BE71c8fBK"/>
  </hyperlinks>
  <pageMargins left="0.70866141732283472" right="0.51181102362204722" top="0.55118110236220474" bottom="0.15748031496062992" header="0.31496062992125984" footer="0.31496062992125984"/>
  <pageSetup paperSize="9" scale="85"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C23" sqref="C23"/>
    </sheetView>
  </sheetViews>
  <sheetFormatPr defaultRowHeight="12.75" x14ac:dyDescent="0.25"/>
  <cols>
    <col min="1" max="1" width="14.140625" style="60" customWidth="1"/>
    <col min="2" max="2" width="27.28515625" style="60" customWidth="1"/>
    <col min="3" max="3" width="59.140625" style="176" customWidth="1"/>
    <col min="4" max="4" width="9.140625" style="176"/>
    <col min="5" max="5" width="22.85546875" style="176" customWidth="1"/>
    <col min="6" max="255" width="9.140625" style="176"/>
    <col min="256" max="256" width="10" style="176" customWidth="1"/>
    <col min="257" max="257" width="5.140625" style="176" customWidth="1"/>
    <col min="258" max="258" width="19.28515625" style="176" customWidth="1"/>
    <col min="259" max="259" width="61.5703125" style="176" customWidth="1"/>
    <col min="260" max="511" width="9.140625" style="176"/>
    <col min="512" max="512" width="10" style="176" customWidth="1"/>
    <col min="513" max="513" width="5.140625" style="176" customWidth="1"/>
    <col min="514" max="514" width="19.28515625" style="176" customWidth="1"/>
    <col min="515" max="515" width="61.5703125" style="176" customWidth="1"/>
    <col min="516" max="767" width="9.140625" style="176"/>
    <col min="768" max="768" width="10" style="176" customWidth="1"/>
    <col min="769" max="769" width="5.140625" style="176" customWidth="1"/>
    <col min="770" max="770" width="19.28515625" style="176" customWidth="1"/>
    <col min="771" max="771" width="61.5703125" style="176" customWidth="1"/>
    <col min="772" max="1023" width="9.140625" style="176"/>
    <col min="1024" max="1024" width="10" style="176" customWidth="1"/>
    <col min="1025" max="1025" width="5.140625" style="176" customWidth="1"/>
    <col min="1026" max="1026" width="19.28515625" style="176" customWidth="1"/>
    <col min="1027" max="1027" width="61.5703125" style="176" customWidth="1"/>
    <col min="1028" max="1279" width="9.140625" style="176"/>
    <col min="1280" max="1280" width="10" style="176" customWidth="1"/>
    <col min="1281" max="1281" width="5.140625" style="176" customWidth="1"/>
    <col min="1282" max="1282" width="19.28515625" style="176" customWidth="1"/>
    <col min="1283" max="1283" width="61.5703125" style="176" customWidth="1"/>
    <col min="1284" max="1535" width="9.140625" style="176"/>
    <col min="1536" max="1536" width="10" style="176" customWidth="1"/>
    <col min="1537" max="1537" width="5.140625" style="176" customWidth="1"/>
    <col min="1538" max="1538" width="19.28515625" style="176" customWidth="1"/>
    <col min="1539" max="1539" width="61.5703125" style="176" customWidth="1"/>
    <col min="1540" max="1791" width="9.140625" style="176"/>
    <col min="1792" max="1792" width="10" style="176" customWidth="1"/>
    <col min="1793" max="1793" width="5.140625" style="176" customWidth="1"/>
    <col min="1794" max="1794" width="19.28515625" style="176" customWidth="1"/>
    <col min="1795" max="1795" width="61.5703125" style="176" customWidth="1"/>
    <col min="1796" max="2047" width="9.140625" style="176"/>
    <col min="2048" max="2048" width="10" style="176" customWidth="1"/>
    <col min="2049" max="2049" width="5.140625" style="176" customWidth="1"/>
    <col min="2050" max="2050" width="19.28515625" style="176" customWidth="1"/>
    <col min="2051" max="2051" width="61.5703125" style="176" customWidth="1"/>
    <col min="2052" max="2303" width="9.140625" style="176"/>
    <col min="2304" max="2304" width="10" style="176" customWidth="1"/>
    <col min="2305" max="2305" width="5.140625" style="176" customWidth="1"/>
    <col min="2306" max="2306" width="19.28515625" style="176" customWidth="1"/>
    <col min="2307" max="2307" width="61.5703125" style="176" customWidth="1"/>
    <col min="2308" max="2559" width="9.140625" style="176"/>
    <col min="2560" max="2560" width="10" style="176" customWidth="1"/>
    <col min="2561" max="2561" width="5.140625" style="176" customWidth="1"/>
    <col min="2562" max="2562" width="19.28515625" style="176" customWidth="1"/>
    <col min="2563" max="2563" width="61.5703125" style="176" customWidth="1"/>
    <col min="2564" max="2815" width="9.140625" style="176"/>
    <col min="2816" max="2816" width="10" style="176" customWidth="1"/>
    <col min="2817" max="2817" width="5.140625" style="176" customWidth="1"/>
    <col min="2818" max="2818" width="19.28515625" style="176" customWidth="1"/>
    <col min="2819" max="2819" width="61.5703125" style="176" customWidth="1"/>
    <col min="2820" max="3071" width="9.140625" style="176"/>
    <col min="3072" max="3072" width="10" style="176" customWidth="1"/>
    <col min="3073" max="3073" width="5.140625" style="176" customWidth="1"/>
    <col min="3074" max="3074" width="19.28515625" style="176" customWidth="1"/>
    <col min="3075" max="3075" width="61.5703125" style="176" customWidth="1"/>
    <col min="3076" max="3327" width="9.140625" style="176"/>
    <col min="3328" max="3328" width="10" style="176" customWidth="1"/>
    <col min="3329" max="3329" width="5.140625" style="176" customWidth="1"/>
    <col min="3330" max="3330" width="19.28515625" style="176" customWidth="1"/>
    <col min="3331" max="3331" width="61.5703125" style="176" customWidth="1"/>
    <col min="3332" max="3583" width="9.140625" style="176"/>
    <col min="3584" max="3584" width="10" style="176" customWidth="1"/>
    <col min="3585" max="3585" width="5.140625" style="176" customWidth="1"/>
    <col min="3586" max="3586" width="19.28515625" style="176" customWidth="1"/>
    <col min="3587" max="3587" width="61.5703125" style="176" customWidth="1"/>
    <col min="3588" max="3839" width="9.140625" style="176"/>
    <col min="3840" max="3840" width="10" style="176" customWidth="1"/>
    <col min="3841" max="3841" width="5.140625" style="176" customWidth="1"/>
    <col min="3842" max="3842" width="19.28515625" style="176" customWidth="1"/>
    <col min="3843" max="3843" width="61.5703125" style="176" customWidth="1"/>
    <col min="3844" max="4095" width="9.140625" style="176"/>
    <col min="4096" max="4096" width="10" style="176" customWidth="1"/>
    <col min="4097" max="4097" width="5.140625" style="176" customWidth="1"/>
    <col min="4098" max="4098" width="19.28515625" style="176" customWidth="1"/>
    <col min="4099" max="4099" width="61.5703125" style="176" customWidth="1"/>
    <col min="4100" max="4351" width="9.140625" style="176"/>
    <col min="4352" max="4352" width="10" style="176" customWidth="1"/>
    <col min="4353" max="4353" width="5.140625" style="176" customWidth="1"/>
    <col min="4354" max="4354" width="19.28515625" style="176" customWidth="1"/>
    <col min="4355" max="4355" width="61.5703125" style="176" customWidth="1"/>
    <col min="4356" max="4607" width="9.140625" style="176"/>
    <col min="4608" max="4608" width="10" style="176" customWidth="1"/>
    <col min="4609" max="4609" width="5.140625" style="176" customWidth="1"/>
    <col min="4610" max="4610" width="19.28515625" style="176" customWidth="1"/>
    <col min="4611" max="4611" width="61.5703125" style="176" customWidth="1"/>
    <col min="4612" max="4863" width="9.140625" style="176"/>
    <col min="4864" max="4864" width="10" style="176" customWidth="1"/>
    <col min="4865" max="4865" width="5.140625" style="176" customWidth="1"/>
    <col min="4866" max="4866" width="19.28515625" style="176" customWidth="1"/>
    <col min="4867" max="4867" width="61.5703125" style="176" customWidth="1"/>
    <col min="4868" max="5119" width="9.140625" style="176"/>
    <col min="5120" max="5120" width="10" style="176" customWidth="1"/>
    <col min="5121" max="5121" width="5.140625" style="176" customWidth="1"/>
    <col min="5122" max="5122" width="19.28515625" style="176" customWidth="1"/>
    <col min="5123" max="5123" width="61.5703125" style="176" customWidth="1"/>
    <col min="5124" max="5375" width="9.140625" style="176"/>
    <col min="5376" max="5376" width="10" style="176" customWidth="1"/>
    <col min="5377" max="5377" width="5.140625" style="176" customWidth="1"/>
    <col min="5378" max="5378" width="19.28515625" style="176" customWidth="1"/>
    <col min="5379" max="5379" width="61.5703125" style="176" customWidth="1"/>
    <col min="5380" max="5631" width="9.140625" style="176"/>
    <col min="5632" max="5632" width="10" style="176" customWidth="1"/>
    <col min="5633" max="5633" width="5.140625" style="176" customWidth="1"/>
    <col min="5634" max="5634" width="19.28515625" style="176" customWidth="1"/>
    <col min="5635" max="5635" width="61.5703125" style="176" customWidth="1"/>
    <col min="5636" max="5887" width="9.140625" style="176"/>
    <col min="5888" max="5888" width="10" style="176" customWidth="1"/>
    <col min="5889" max="5889" width="5.140625" style="176" customWidth="1"/>
    <col min="5890" max="5890" width="19.28515625" style="176" customWidth="1"/>
    <col min="5891" max="5891" width="61.5703125" style="176" customWidth="1"/>
    <col min="5892" max="6143" width="9.140625" style="176"/>
    <col min="6144" max="6144" width="10" style="176" customWidth="1"/>
    <col min="6145" max="6145" width="5.140625" style="176" customWidth="1"/>
    <col min="6146" max="6146" width="19.28515625" style="176" customWidth="1"/>
    <col min="6147" max="6147" width="61.5703125" style="176" customWidth="1"/>
    <col min="6148" max="6399" width="9.140625" style="176"/>
    <col min="6400" max="6400" width="10" style="176" customWidth="1"/>
    <col min="6401" max="6401" width="5.140625" style="176" customWidth="1"/>
    <col min="6402" max="6402" width="19.28515625" style="176" customWidth="1"/>
    <col min="6403" max="6403" width="61.5703125" style="176" customWidth="1"/>
    <col min="6404" max="6655" width="9.140625" style="176"/>
    <col min="6656" max="6656" width="10" style="176" customWidth="1"/>
    <col min="6657" max="6657" width="5.140625" style="176" customWidth="1"/>
    <col min="6658" max="6658" width="19.28515625" style="176" customWidth="1"/>
    <col min="6659" max="6659" width="61.5703125" style="176" customWidth="1"/>
    <col min="6660" max="6911" width="9.140625" style="176"/>
    <col min="6912" max="6912" width="10" style="176" customWidth="1"/>
    <col min="6913" max="6913" width="5.140625" style="176" customWidth="1"/>
    <col min="6914" max="6914" width="19.28515625" style="176" customWidth="1"/>
    <col min="6915" max="6915" width="61.5703125" style="176" customWidth="1"/>
    <col min="6916" max="7167" width="9.140625" style="176"/>
    <col min="7168" max="7168" width="10" style="176" customWidth="1"/>
    <col min="7169" max="7169" width="5.140625" style="176" customWidth="1"/>
    <col min="7170" max="7170" width="19.28515625" style="176" customWidth="1"/>
    <col min="7171" max="7171" width="61.5703125" style="176" customWidth="1"/>
    <col min="7172" max="7423" width="9.140625" style="176"/>
    <col min="7424" max="7424" width="10" style="176" customWidth="1"/>
    <col min="7425" max="7425" width="5.140625" style="176" customWidth="1"/>
    <col min="7426" max="7426" width="19.28515625" style="176" customWidth="1"/>
    <col min="7427" max="7427" width="61.5703125" style="176" customWidth="1"/>
    <col min="7428" max="7679" width="9.140625" style="176"/>
    <col min="7680" max="7680" width="10" style="176" customWidth="1"/>
    <col min="7681" max="7681" width="5.140625" style="176" customWidth="1"/>
    <col min="7682" max="7682" width="19.28515625" style="176" customWidth="1"/>
    <col min="7683" max="7683" width="61.5703125" style="176" customWidth="1"/>
    <col min="7684" max="7935" width="9.140625" style="176"/>
    <col min="7936" max="7936" width="10" style="176" customWidth="1"/>
    <col min="7937" max="7937" width="5.140625" style="176" customWidth="1"/>
    <col min="7938" max="7938" width="19.28515625" style="176" customWidth="1"/>
    <col min="7939" max="7939" width="61.5703125" style="176" customWidth="1"/>
    <col min="7940" max="8191" width="9.140625" style="176"/>
    <col min="8192" max="8192" width="10" style="176" customWidth="1"/>
    <col min="8193" max="8193" width="5.140625" style="176" customWidth="1"/>
    <col min="8194" max="8194" width="19.28515625" style="176" customWidth="1"/>
    <col min="8195" max="8195" width="61.5703125" style="176" customWidth="1"/>
    <col min="8196" max="8447" width="9.140625" style="176"/>
    <col min="8448" max="8448" width="10" style="176" customWidth="1"/>
    <col min="8449" max="8449" width="5.140625" style="176" customWidth="1"/>
    <col min="8450" max="8450" width="19.28515625" style="176" customWidth="1"/>
    <col min="8451" max="8451" width="61.5703125" style="176" customWidth="1"/>
    <col min="8452" max="8703" width="9.140625" style="176"/>
    <col min="8704" max="8704" width="10" style="176" customWidth="1"/>
    <col min="8705" max="8705" width="5.140625" style="176" customWidth="1"/>
    <col min="8706" max="8706" width="19.28515625" style="176" customWidth="1"/>
    <col min="8707" max="8707" width="61.5703125" style="176" customWidth="1"/>
    <col min="8708" max="8959" width="9.140625" style="176"/>
    <col min="8960" max="8960" width="10" style="176" customWidth="1"/>
    <col min="8961" max="8961" width="5.140625" style="176" customWidth="1"/>
    <col min="8962" max="8962" width="19.28515625" style="176" customWidth="1"/>
    <col min="8963" max="8963" width="61.5703125" style="176" customWidth="1"/>
    <col min="8964" max="9215" width="9.140625" style="176"/>
    <col min="9216" max="9216" width="10" style="176" customWidth="1"/>
    <col min="9217" max="9217" width="5.140625" style="176" customWidth="1"/>
    <col min="9218" max="9218" width="19.28515625" style="176" customWidth="1"/>
    <col min="9219" max="9219" width="61.5703125" style="176" customWidth="1"/>
    <col min="9220" max="9471" width="9.140625" style="176"/>
    <col min="9472" max="9472" width="10" style="176" customWidth="1"/>
    <col min="9473" max="9473" width="5.140625" style="176" customWidth="1"/>
    <col min="9474" max="9474" width="19.28515625" style="176" customWidth="1"/>
    <col min="9475" max="9475" width="61.5703125" style="176" customWidth="1"/>
    <col min="9476" max="9727" width="9.140625" style="176"/>
    <col min="9728" max="9728" width="10" style="176" customWidth="1"/>
    <col min="9729" max="9729" width="5.140625" style="176" customWidth="1"/>
    <col min="9730" max="9730" width="19.28515625" style="176" customWidth="1"/>
    <col min="9731" max="9731" width="61.5703125" style="176" customWidth="1"/>
    <col min="9732" max="9983" width="9.140625" style="176"/>
    <col min="9984" max="9984" width="10" style="176" customWidth="1"/>
    <col min="9985" max="9985" width="5.140625" style="176" customWidth="1"/>
    <col min="9986" max="9986" width="19.28515625" style="176" customWidth="1"/>
    <col min="9987" max="9987" width="61.5703125" style="176" customWidth="1"/>
    <col min="9988" max="10239" width="9.140625" style="176"/>
    <col min="10240" max="10240" width="10" style="176" customWidth="1"/>
    <col min="10241" max="10241" width="5.140625" style="176" customWidth="1"/>
    <col min="10242" max="10242" width="19.28515625" style="176" customWidth="1"/>
    <col min="10243" max="10243" width="61.5703125" style="176" customWidth="1"/>
    <col min="10244" max="10495" width="9.140625" style="176"/>
    <col min="10496" max="10496" width="10" style="176" customWidth="1"/>
    <col min="10497" max="10497" width="5.140625" style="176" customWidth="1"/>
    <col min="10498" max="10498" width="19.28515625" style="176" customWidth="1"/>
    <col min="10499" max="10499" width="61.5703125" style="176" customWidth="1"/>
    <col min="10500" max="10751" width="9.140625" style="176"/>
    <col min="10752" max="10752" width="10" style="176" customWidth="1"/>
    <col min="10753" max="10753" width="5.140625" style="176" customWidth="1"/>
    <col min="10754" max="10754" width="19.28515625" style="176" customWidth="1"/>
    <col min="10755" max="10755" width="61.5703125" style="176" customWidth="1"/>
    <col min="10756" max="11007" width="9.140625" style="176"/>
    <col min="11008" max="11008" width="10" style="176" customWidth="1"/>
    <col min="11009" max="11009" width="5.140625" style="176" customWidth="1"/>
    <col min="11010" max="11010" width="19.28515625" style="176" customWidth="1"/>
    <col min="11011" max="11011" width="61.5703125" style="176" customWidth="1"/>
    <col min="11012" max="11263" width="9.140625" style="176"/>
    <col min="11264" max="11264" width="10" style="176" customWidth="1"/>
    <col min="11265" max="11265" width="5.140625" style="176" customWidth="1"/>
    <col min="11266" max="11266" width="19.28515625" style="176" customWidth="1"/>
    <col min="11267" max="11267" width="61.5703125" style="176" customWidth="1"/>
    <col min="11268" max="11519" width="9.140625" style="176"/>
    <col min="11520" max="11520" width="10" style="176" customWidth="1"/>
    <col min="11521" max="11521" width="5.140625" style="176" customWidth="1"/>
    <col min="11522" max="11522" width="19.28515625" style="176" customWidth="1"/>
    <col min="11523" max="11523" width="61.5703125" style="176" customWidth="1"/>
    <col min="11524" max="11775" width="9.140625" style="176"/>
    <col min="11776" max="11776" width="10" style="176" customWidth="1"/>
    <col min="11777" max="11777" width="5.140625" style="176" customWidth="1"/>
    <col min="11778" max="11778" width="19.28515625" style="176" customWidth="1"/>
    <col min="11779" max="11779" width="61.5703125" style="176" customWidth="1"/>
    <col min="11780" max="12031" width="9.140625" style="176"/>
    <col min="12032" max="12032" width="10" style="176" customWidth="1"/>
    <col min="12033" max="12033" width="5.140625" style="176" customWidth="1"/>
    <col min="12034" max="12034" width="19.28515625" style="176" customWidth="1"/>
    <col min="12035" max="12035" width="61.5703125" style="176" customWidth="1"/>
    <col min="12036" max="12287" width="9.140625" style="176"/>
    <col min="12288" max="12288" width="10" style="176" customWidth="1"/>
    <col min="12289" max="12289" width="5.140625" style="176" customWidth="1"/>
    <col min="12290" max="12290" width="19.28515625" style="176" customWidth="1"/>
    <col min="12291" max="12291" width="61.5703125" style="176" customWidth="1"/>
    <col min="12292" max="12543" width="9.140625" style="176"/>
    <col min="12544" max="12544" width="10" style="176" customWidth="1"/>
    <col min="12545" max="12545" width="5.140625" style="176" customWidth="1"/>
    <col min="12546" max="12546" width="19.28515625" style="176" customWidth="1"/>
    <col min="12547" max="12547" width="61.5703125" style="176" customWidth="1"/>
    <col min="12548" max="12799" width="9.140625" style="176"/>
    <col min="12800" max="12800" width="10" style="176" customWidth="1"/>
    <col min="12801" max="12801" width="5.140625" style="176" customWidth="1"/>
    <col min="12802" max="12802" width="19.28515625" style="176" customWidth="1"/>
    <col min="12803" max="12803" width="61.5703125" style="176" customWidth="1"/>
    <col min="12804" max="13055" width="9.140625" style="176"/>
    <col min="13056" max="13056" width="10" style="176" customWidth="1"/>
    <col min="13057" max="13057" width="5.140625" style="176" customWidth="1"/>
    <col min="13058" max="13058" width="19.28515625" style="176" customWidth="1"/>
    <col min="13059" max="13059" width="61.5703125" style="176" customWidth="1"/>
    <col min="13060" max="13311" width="9.140625" style="176"/>
    <col min="13312" max="13312" width="10" style="176" customWidth="1"/>
    <col min="13313" max="13313" width="5.140625" style="176" customWidth="1"/>
    <col min="13314" max="13314" width="19.28515625" style="176" customWidth="1"/>
    <col min="13315" max="13315" width="61.5703125" style="176" customWidth="1"/>
    <col min="13316" max="13567" width="9.140625" style="176"/>
    <col min="13568" max="13568" width="10" style="176" customWidth="1"/>
    <col min="13569" max="13569" width="5.140625" style="176" customWidth="1"/>
    <col min="13570" max="13570" width="19.28515625" style="176" customWidth="1"/>
    <col min="13571" max="13571" width="61.5703125" style="176" customWidth="1"/>
    <col min="13572" max="13823" width="9.140625" style="176"/>
    <col min="13824" max="13824" width="10" style="176" customWidth="1"/>
    <col min="13825" max="13825" width="5.140625" style="176" customWidth="1"/>
    <col min="13826" max="13826" width="19.28515625" style="176" customWidth="1"/>
    <col min="13827" max="13827" width="61.5703125" style="176" customWidth="1"/>
    <col min="13828" max="14079" width="9.140625" style="176"/>
    <col min="14080" max="14080" width="10" style="176" customWidth="1"/>
    <col min="14081" max="14081" width="5.140625" style="176" customWidth="1"/>
    <col min="14082" max="14082" width="19.28515625" style="176" customWidth="1"/>
    <col min="14083" max="14083" width="61.5703125" style="176" customWidth="1"/>
    <col min="14084" max="14335" width="9.140625" style="176"/>
    <col min="14336" max="14336" width="10" style="176" customWidth="1"/>
    <col min="14337" max="14337" width="5.140625" style="176" customWidth="1"/>
    <col min="14338" max="14338" width="19.28515625" style="176" customWidth="1"/>
    <col min="14339" max="14339" width="61.5703125" style="176" customWidth="1"/>
    <col min="14340" max="14591" width="9.140625" style="176"/>
    <col min="14592" max="14592" width="10" style="176" customWidth="1"/>
    <col min="14593" max="14593" width="5.140625" style="176" customWidth="1"/>
    <col min="14594" max="14594" width="19.28515625" style="176" customWidth="1"/>
    <col min="14595" max="14595" width="61.5703125" style="176" customWidth="1"/>
    <col min="14596" max="14847" width="9.140625" style="176"/>
    <col min="14848" max="14848" width="10" style="176" customWidth="1"/>
    <col min="14849" max="14849" width="5.140625" style="176" customWidth="1"/>
    <col min="14850" max="14850" width="19.28515625" style="176" customWidth="1"/>
    <col min="14851" max="14851" width="61.5703125" style="176" customWidth="1"/>
    <col min="14852" max="15103" width="9.140625" style="176"/>
    <col min="15104" max="15104" width="10" style="176" customWidth="1"/>
    <col min="15105" max="15105" width="5.140625" style="176" customWidth="1"/>
    <col min="15106" max="15106" width="19.28515625" style="176" customWidth="1"/>
    <col min="15107" max="15107" width="61.5703125" style="176" customWidth="1"/>
    <col min="15108" max="15359" width="9.140625" style="176"/>
    <col min="15360" max="15360" width="10" style="176" customWidth="1"/>
    <col min="15361" max="15361" width="5.140625" style="176" customWidth="1"/>
    <col min="15362" max="15362" width="19.28515625" style="176" customWidth="1"/>
    <col min="15363" max="15363" width="61.5703125" style="176" customWidth="1"/>
    <col min="15364" max="15615" width="9.140625" style="176"/>
    <col min="15616" max="15616" width="10" style="176" customWidth="1"/>
    <col min="15617" max="15617" width="5.140625" style="176" customWidth="1"/>
    <col min="15618" max="15618" width="19.28515625" style="176" customWidth="1"/>
    <col min="15619" max="15619" width="61.5703125" style="176" customWidth="1"/>
    <col min="15620" max="15871" width="9.140625" style="176"/>
    <col min="15872" max="15872" width="10" style="176" customWidth="1"/>
    <col min="15873" max="15873" width="5.140625" style="176" customWidth="1"/>
    <col min="15874" max="15874" width="19.28515625" style="176" customWidth="1"/>
    <col min="15875" max="15875" width="61.5703125" style="176" customWidth="1"/>
    <col min="15876" max="16127" width="9.140625" style="176"/>
    <col min="16128" max="16128" width="10" style="176" customWidth="1"/>
    <col min="16129" max="16129" width="5.140625" style="176" customWidth="1"/>
    <col min="16130" max="16130" width="19.28515625" style="176" customWidth="1"/>
    <col min="16131" max="16131" width="61.5703125" style="176" customWidth="1"/>
    <col min="16132" max="16384" width="9.140625" style="176"/>
  </cols>
  <sheetData>
    <row r="1" spans="1:6" x14ac:dyDescent="0.25">
      <c r="C1" s="174" t="s">
        <v>516</v>
      </c>
      <c r="D1" s="187"/>
      <c r="E1" s="187"/>
      <c r="F1" s="187"/>
    </row>
    <row r="2" spans="1:6" ht="38.25" x14ac:dyDescent="0.25">
      <c r="C2" s="175" t="s">
        <v>592</v>
      </c>
      <c r="D2" s="187"/>
      <c r="E2" s="187"/>
      <c r="F2" s="187"/>
    </row>
    <row r="4" spans="1:6" ht="42" customHeight="1" x14ac:dyDescent="0.25">
      <c r="A4" s="520" t="s">
        <v>517</v>
      </c>
      <c r="B4" s="520"/>
      <c r="C4" s="520"/>
    </row>
    <row r="6" spans="1:6" s="188" customFormat="1" ht="56.25" x14ac:dyDescent="0.25">
      <c r="A6" s="157" t="s">
        <v>518</v>
      </c>
      <c r="B6" s="157" t="s">
        <v>519</v>
      </c>
      <c r="C6" s="157" t="s">
        <v>520</v>
      </c>
    </row>
    <row r="7" spans="1:6" ht="26.25" customHeight="1" x14ac:dyDescent="0.25">
      <c r="A7" s="523" t="s">
        <v>156</v>
      </c>
      <c r="B7" s="531"/>
      <c r="C7" s="547"/>
    </row>
    <row r="8" spans="1:6" s="192" customFormat="1" ht="36" customHeight="1" x14ac:dyDescent="0.25">
      <c r="A8" s="189">
        <v>853</v>
      </c>
      <c r="B8" s="189" t="s">
        <v>521</v>
      </c>
      <c r="C8" s="190" t="s">
        <v>522</v>
      </c>
      <c r="D8" s="191"/>
    </row>
    <row r="9" spans="1:6" s="193" customFormat="1" ht="36" customHeight="1" x14ac:dyDescent="0.25">
      <c r="A9" s="189">
        <v>853</v>
      </c>
      <c r="B9" s="189" t="s">
        <v>523</v>
      </c>
      <c r="C9" s="190" t="s">
        <v>524</v>
      </c>
    </row>
    <row r="17" spans="3:5" s="176" customFormat="1" x14ac:dyDescent="0.25">
      <c r="C17" s="194"/>
      <c r="D17" s="194"/>
      <c r="E17" s="194"/>
    </row>
    <row r="18" spans="3:5" s="176" customFormat="1" x14ac:dyDescent="0.25">
      <c r="C18" s="195"/>
      <c r="D18" s="196"/>
      <c r="E18" s="197"/>
    </row>
    <row r="19" spans="3:5" s="176" customFormat="1" x14ac:dyDescent="0.25">
      <c r="C19" s="195"/>
      <c r="D19" s="196"/>
      <c r="E19" s="197"/>
    </row>
    <row r="20" spans="3:5" s="176" customFormat="1" x14ac:dyDescent="0.25">
      <c r="C20" s="194"/>
      <c r="D20" s="194"/>
      <c r="E20" s="194"/>
    </row>
  </sheetData>
  <mergeCells count="2">
    <mergeCell ref="A4:C4"/>
    <mergeCell ref="A7:C7"/>
  </mergeCells>
  <pageMargins left="0.70866141732283472" right="0.31496062992125984"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R395"/>
  <sheetViews>
    <sheetView workbookViewId="0">
      <pane xSplit="9" ySplit="5" topLeftCell="J317" activePane="bottomRight" state="frozen"/>
      <selection activeCell="J379" sqref="J379:J380"/>
      <selection pane="topRight" activeCell="J379" sqref="J379:J380"/>
      <selection pane="bottomLeft" activeCell="J379" sqref="J379:J380"/>
      <selection pane="bottomRight" activeCell="L331" sqref="L331"/>
    </sheetView>
  </sheetViews>
  <sheetFormatPr defaultRowHeight="12" x14ac:dyDescent="0.25"/>
  <cols>
    <col min="1" max="1" width="1.42578125" style="81" customWidth="1"/>
    <col min="2" max="2" width="46.42578125" style="81" customWidth="1"/>
    <col min="3" max="4" width="4" style="81" hidden="1" customWidth="1"/>
    <col min="5" max="5" width="4.140625" style="97" hidden="1" customWidth="1"/>
    <col min="6" max="7" width="3.85546875" style="97" customWidth="1"/>
    <col min="8" max="8" width="9.85546875" style="31" customWidth="1"/>
    <col min="9" max="9" width="4.7109375" style="6" customWidth="1"/>
    <col min="10" max="10" width="14" style="81" customWidth="1"/>
    <col min="11" max="11" width="13.7109375" style="81" customWidth="1"/>
    <col min="12" max="12" width="14.42578125" style="81" customWidth="1"/>
    <col min="13" max="13" width="13.7109375" style="81" customWidth="1"/>
    <col min="14" max="14" width="14.42578125" style="81" customWidth="1"/>
    <col min="15" max="202" width="9.140625" style="81"/>
    <col min="203" max="203" width="1.42578125" style="81" customWidth="1"/>
    <col min="204" max="204" width="59.5703125" style="81" customWidth="1"/>
    <col min="205" max="205" width="9.140625" style="81" customWidth="1"/>
    <col min="206" max="207" width="3.85546875" style="81" customWidth="1"/>
    <col min="208" max="208" width="10.5703125" style="81" customWidth="1"/>
    <col min="209" max="209" width="3.85546875" style="81" customWidth="1"/>
    <col min="210" max="212" width="14.42578125" style="81" customWidth="1"/>
    <col min="213" max="213" width="4.140625" style="81" customWidth="1"/>
    <col min="214" max="214" width="15" style="81" customWidth="1"/>
    <col min="215" max="216" width="9.140625" style="81" customWidth="1"/>
    <col min="217" max="217" width="11.5703125" style="81" customWidth="1"/>
    <col min="218" max="218" width="18.140625" style="81" customWidth="1"/>
    <col min="219" max="219" width="13.140625" style="81" customWidth="1"/>
    <col min="220" max="220" width="12.28515625" style="81" customWidth="1"/>
    <col min="221" max="458" width="9.140625" style="81"/>
    <col min="459" max="459" width="1.42578125" style="81" customWidth="1"/>
    <col min="460" max="460" width="59.5703125" style="81" customWidth="1"/>
    <col min="461" max="461" width="9.140625" style="81" customWidth="1"/>
    <col min="462" max="463" width="3.85546875" style="81" customWidth="1"/>
    <col min="464" max="464" width="10.5703125" style="81" customWidth="1"/>
    <col min="465" max="465" width="3.85546875" style="81" customWidth="1"/>
    <col min="466" max="468" width="14.42578125" style="81" customWidth="1"/>
    <col min="469" max="469" width="4.140625" style="81" customWidth="1"/>
    <col min="470" max="470" width="15" style="81" customWidth="1"/>
    <col min="471" max="472" width="9.140625" style="81" customWidth="1"/>
    <col min="473" max="473" width="11.5703125" style="81" customWidth="1"/>
    <col min="474" max="474" width="18.140625" style="81" customWidth="1"/>
    <col min="475" max="475" width="13.140625" style="81" customWidth="1"/>
    <col min="476" max="476" width="12.28515625" style="81" customWidth="1"/>
    <col min="477" max="714" width="9.140625" style="81"/>
    <col min="715" max="715" width="1.42578125" style="81" customWidth="1"/>
    <col min="716" max="716" width="59.5703125" style="81" customWidth="1"/>
    <col min="717" max="717" width="9.140625" style="81" customWidth="1"/>
    <col min="718" max="719" width="3.85546875" style="81" customWidth="1"/>
    <col min="720" max="720" width="10.5703125" style="81" customWidth="1"/>
    <col min="721" max="721" width="3.85546875" style="81" customWidth="1"/>
    <col min="722" max="724" width="14.42578125" style="81" customWidth="1"/>
    <col min="725" max="725" width="4.140625" style="81" customWidth="1"/>
    <col min="726" max="726" width="15" style="81" customWidth="1"/>
    <col min="727" max="728" width="9.140625" style="81" customWidth="1"/>
    <col min="729" max="729" width="11.5703125" style="81" customWidth="1"/>
    <col min="730" max="730" width="18.140625" style="81" customWidth="1"/>
    <col min="731" max="731" width="13.140625" style="81" customWidth="1"/>
    <col min="732" max="732" width="12.28515625" style="81" customWidth="1"/>
    <col min="733" max="970" width="9.140625" style="81"/>
    <col min="971" max="971" width="1.42578125" style="81" customWidth="1"/>
    <col min="972" max="972" width="59.5703125" style="81" customWidth="1"/>
    <col min="973" max="973" width="9.140625" style="81" customWidth="1"/>
    <col min="974" max="975" width="3.85546875" style="81" customWidth="1"/>
    <col min="976" max="976" width="10.5703125" style="81" customWidth="1"/>
    <col min="977" max="977" width="3.85546875" style="81" customWidth="1"/>
    <col min="978" max="980" width="14.42578125" style="81" customWidth="1"/>
    <col min="981" max="981" width="4.140625" style="81" customWidth="1"/>
    <col min="982" max="982" width="15" style="81" customWidth="1"/>
    <col min="983" max="984" width="9.140625" style="81" customWidth="1"/>
    <col min="985" max="985" width="11.5703125" style="81" customWidth="1"/>
    <col min="986" max="986" width="18.140625" style="81" customWidth="1"/>
    <col min="987" max="987" width="13.140625" style="81" customWidth="1"/>
    <col min="988" max="988" width="12.28515625" style="81" customWidth="1"/>
    <col min="989" max="1226" width="9.140625" style="81"/>
    <col min="1227" max="1227" width="1.42578125" style="81" customWidth="1"/>
    <col min="1228" max="1228" width="59.5703125" style="81" customWidth="1"/>
    <col min="1229" max="1229" width="9.140625" style="81" customWidth="1"/>
    <col min="1230" max="1231" width="3.85546875" style="81" customWidth="1"/>
    <col min="1232" max="1232" width="10.5703125" style="81" customWidth="1"/>
    <col min="1233" max="1233" width="3.85546875" style="81" customWidth="1"/>
    <col min="1234" max="1236" width="14.42578125" style="81" customWidth="1"/>
    <col min="1237" max="1237" width="4.140625" style="81" customWidth="1"/>
    <col min="1238" max="1238" width="15" style="81" customWidth="1"/>
    <col min="1239" max="1240" width="9.140625" style="81" customWidth="1"/>
    <col min="1241" max="1241" width="11.5703125" style="81" customWidth="1"/>
    <col min="1242" max="1242" width="18.140625" style="81" customWidth="1"/>
    <col min="1243" max="1243" width="13.140625" style="81" customWidth="1"/>
    <col min="1244" max="1244" width="12.28515625" style="81" customWidth="1"/>
    <col min="1245" max="1482" width="9.140625" style="81"/>
    <col min="1483" max="1483" width="1.42578125" style="81" customWidth="1"/>
    <col min="1484" max="1484" width="59.5703125" style="81" customWidth="1"/>
    <col min="1485" max="1485" width="9.140625" style="81" customWidth="1"/>
    <col min="1486" max="1487" width="3.85546875" style="81" customWidth="1"/>
    <col min="1488" max="1488" width="10.5703125" style="81" customWidth="1"/>
    <col min="1489" max="1489" width="3.85546875" style="81" customWidth="1"/>
    <col min="1490" max="1492" width="14.42578125" style="81" customWidth="1"/>
    <col min="1493" max="1493" width="4.140625" style="81" customWidth="1"/>
    <col min="1494" max="1494" width="15" style="81" customWidth="1"/>
    <col min="1495" max="1496" width="9.140625" style="81" customWidth="1"/>
    <col min="1497" max="1497" width="11.5703125" style="81" customWidth="1"/>
    <col min="1498" max="1498" width="18.140625" style="81" customWidth="1"/>
    <col min="1499" max="1499" width="13.140625" style="81" customWidth="1"/>
    <col min="1500" max="1500" width="12.28515625" style="81" customWidth="1"/>
    <col min="1501" max="1738" width="9.140625" style="81"/>
    <col min="1739" max="1739" width="1.42578125" style="81" customWidth="1"/>
    <col min="1740" max="1740" width="59.5703125" style="81" customWidth="1"/>
    <col min="1741" max="1741" width="9.140625" style="81" customWidth="1"/>
    <col min="1742" max="1743" width="3.85546875" style="81" customWidth="1"/>
    <col min="1744" max="1744" width="10.5703125" style="81" customWidth="1"/>
    <col min="1745" max="1745" width="3.85546875" style="81" customWidth="1"/>
    <col min="1746" max="1748" width="14.42578125" style="81" customWidth="1"/>
    <col min="1749" max="1749" width="4.140625" style="81" customWidth="1"/>
    <col min="1750" max="1750" width="15" style="81" customWidth="1"/>
    <col min="1751" max="1752" width="9.140625" style="81" customWidth="1"/>
    <col min="1753" max="1753" width="11.5703125" style="81" customWidth="1"/>
    <col min="1754" max="1754" width="18.140625" style="81" customWidth="1"/>
    <col min="1755" max="1755" width="13.140625" style="81" customWidth="1"/>
    <col min="1756" max="1756" width="12.28515625" style="81" customWidth="1"/>
    <col min="1757" max="1994" width="9.140625" style="81"/>
    <col min="1995" max="1995" width="1.42578125" style="81" customWidth="1"/>
    <col min="1996" max="1996" width="59.5703125" style="81" customWidth="1"/>
    <col min="1997" max="1997" width="9.140625" style="81" customWidth="1"/>
    <col min="1998" max="1999" width="3.85546875" style="81" customWidth="1"/>
    <col min="2000" max="2000" width="10.5703125" style="81" customWidth="1"/>
    <col min="2001" max="2001" width="3.85546875" style="81" customWidth="1"/>
    <col min="2002" max="2004" width="14.42578125" style="81" customWidth="1"/>
    <col min="2005" max="2005" width="4.140625" style="81" customWidth="1"/>
    <col min="2006" max="2006" width="15" style="81" customWidth="1"/>
    <col min="2007" max="2008" width="9.140625" style="81" customWidth="1"/>
    <col min="2009" max="2009" width="11.5703125" style="81" customWidth="1"/>
    <col min="2010" max="2010" width="18.140625" style="81" customWidth="1"/>
    <col min="2011" max="2011" width="13.140625" style="81" customWidth="1"/>
    <col min="2012" max="2012" width="12.28515625" style="81" customWidth="1"/>
    <col min="2013" max="2250" width="9.140625" style="81"/>
    <col min="2251" max="2251" width="1.42578125" style="81" customWidth="1"/>
    <col min="2252" max="2252" width="59.5703125" style="81" customWidth="1"/>
    <col min="2253" max="2253" width="9.140625" style="81" customWidth="1"/>
    <col min="2254" max="2255" width="3.85546875" style="81" customWidth="1"/>
    <col min="2256" max="2256" width="10.5703125" style="81" customWidth="1"/>
    <col min="2257" max="2257" width="3.85546875" style="81" customWidth="1"/>
    <col min="2258" max="2260" width="14.42578125" style="81" customWidth="1"/>
    <col min="2261" max="2261" width="4.140625" style="81" customWidth="1"/>
    <col min="2262" max="2262" width="15" style="81" customWidth="1"/>
    <col min="2263" max="2264" width="9.140625" style="81" customWidth="1"/>
    <col min="2265" max="2265" width="11.5703125" style="81" customWidth="1"/>
    <col min="2266" max="2266" width="18.140625" style="81" customWidth="1"/>
    <col min="2267" max="2267" width="13.140625" style="81" customWidth="1"/>
    <col min="2268" max="2268" width="12.28515625" style="81" customWidth="1"/>
    <col min="2269" max="2506" width="9.140625" style="81"/>
    <col min="2507" max="2507" width="1.42578125" style="81" customWidth="1"/>
    <col min="2508" max="2508" width="59.5703125" style="81" customWidth="1"/>
    <col min="2509" max="2509" width="9.140625" style="81" customWidth="1"/>
    <col min="2510" max="2511" width="3.85546875" style="81" customWidth="1"/>
    <col min="2512" max="2512" width="10.5703125" style="81" customWidth="1"/>
    <col min="2513" max="2513" width="3.85546875" style="81" customWidth="1"/>
    <col min="2514" max="2516" width="14.42578125" style="81" customWidth="1"/>
    <col min="2517" max="2517" width="4.140625" style="81" customWidth="1"/>
    <col min="2518" max="2518" width="15" style="81" customWidth="1"/>
    <col min="2519" max="2520" width="9.140625" style="81" customWidth="1"/>
    <col min="2521" max="2521" width="11.5703125" style="81" customWidth="1"/>
    <col min="2522" max="2522" width="18.140625" style="81" customWidth="1"/>
    <col min="2523" max="2523" width="13.140625" style="81" customWidth="1"/>
    <col min="2524" max="2524" width="12.28515625" style="81" customWidth="1"/>
    <col min="2525" max="2762" width="9.140625" style="81"/>
    <col min="2763" max="2763" width="1.42578125" style="81" customWidth="1"/>
    <col min="2764" max="2764" width="59.5703125" style="81" customWidth="1"/>
    <col min="2765" max="2765" width="9.140625" style="81" customWidth="1"/>
    <col min="2766" max="2767" width="3.85546875" style="81" customWidth="1"/>
    <col min="2768" max="2768" width="10.5703125" style="81" customWidth="1"/>
    <col min="2769" max="2769" width="3.85546875" style="81" customWidth="1"/>
    <col min="2770" max="2772" width="14.42578125" style="81" customWidth="1"/>
    <col min="2773" max="2773" width="4.140625" style="81" customWidth="1"/>
    <col min="2774" max="2774" width="15" style="81" customWidth="1"/>
    <col min="2775" max="2776" width="9.140625" style="81" customWidth="1"/>
    <col min="2777" max="2777" width="11.5703125" style="81" customWidth="1"/>
    <col min="2778" max="2778" width="18.140625" style="81" customWidth="1"/>
    <col min="2779" max="2779" width="13.140625" style="81" customWidth="1"/>
    <col min="2780" max="2780" width="12.28515625" style="81" customWidth="1"/>
    <col min="2781" max="3018" width="9.140625" style="81"/>
    <col min="3019" max="3019" width="1.42578125" style="81" customWidth="1"/>
    <col min="3020" max="3020" width="59.5703125" style="81" customWidth="1"/>
    <col min="3021" max="3021" width="9.140625" style="81" customWidth="1"/>
    <col min="3022" max="3023" width="3.85546875" style="81" customWidth="1"/>
    <col min="3024" max="3024" width="10.5703125" style="81" customWidth="1"/>
    <col min="3025" max="3025" width="3.85546875" style="81" customWidth="1"/>
    <col min="3026" max="3028" width="14.42578125" style="81" customWidth="1"/>
    <col min="3029" max="3029" width="4.140625" style="81" customWidth="1"/>
    <col min="3030" max="3030" width="15" style="81" customWidth="1"/>
    <col min="3031" max="3032" width="9.140625" style="81" customWidth="1"/>
    <col min="3033" max="3033" width="11.5703125" style="81" customWidth="1"/>
    <col min="3034" max="3034" width="18.140625" style="81" customWidth="1"/>
    <col min="3035" max="3035" width="13.140625" style="81" customWidth="1"/>
    <col min="3036" max="3036" width="12.28515625" style="81" customWidth="1"/>
    <col min="3037" max="3274" width="9.140625" style="81"/>
    <col min="3275" max="3275" width="1.42578125" style="81" customWidth="1"/>
    <col min="3276" max="3276" width="59.5703125" style="81" customWidth="1"/>
    <col min="3277" max="3277" width="9.140625" style="81" customWidth="1"/>
    <col min="3278" max="3279" width="3.85546875" style="81" customWidth="1"/>
    <col min="3280" max="3280" width="10.5703125" style="81" customWidth="1"/>
    <col min="3281" max="3281" width="3.85546875" style="81" customWidth="1"/>
    <col min="3282" max="3284" width="14.42578125" style="81" customWidth="1"/>
    <col min="3285" max="3285" width="4.140625" style="81" customWidth="1"/>
    <col min="3286" max="3286" width="15" style="81" customWidth="1"/>
    <col min="3287" max="3288" width="9.140625" style="81" customWidth="1"/>
    <col min="3289" max="3289" width="11.5703125" style="81" customWidth="1"/>
    <col min="3290" max="3290" width="18.140625" style="81" customWidth="1"/>
    <col min="3291" max="3291" width="13.140625" style="81" customWidth="1"/>
    <col min="3292" max="3292" width="12.28515625" style="81" customWidth="1"/>
    <col min="3293" max="3530" width="9.140625" style="81"/>
    <col min="3531" max="3531" width="1.42578125" style="81" customWidth="1"/>
    <col min="3532" max="3532" width="59.5703125" style="81" customWidth="1"/>
    <col min="3533" max="3533" width="9.140625" style="81" customWidth="1"/>
    <col min="3534" max="3535" width="3.85546875" style="81" customWidth="1"/>
    <col min="3536" max="3536" width="10.5703125" style="81" customWidth="1"/>
    <col min="3537" max="3537" width="3.85546875" style="81" customWidth="1"/>
    <col min="3538" max="3540" width="14.42578125" style="81" customWidth="1"/>
    <col min="3541" max="3541" width="4.140625" style="81" customWidth="1"/>
    <col min="3542" max="3542" width="15" style="81" customWidth="1"/>
    <col min="3543" max="3544" width="9.140625" style="81" customWidth="1"/>
    <col min="3545" max="3545" width="11.5703125" style="81" customWidth="1"/>
    <col min="3546" max="3546" width="18.140625" style="81" customWidth="1"/>
    <col min="3547" max="3547" width="13.140625" style="81" customWidth="1"/>
    <col min="3548" max="3548" width="12.28515625" style="81" customWidth="1"/>
    <col min="3549" max="3786" width="9.140625" style="81"/>
    <col min="3787" max="3787" width="1.42578125" style="81" customWidth="1"/>
    <col min="3788" max="3788" width="59.5703125" style="81" customWidth="1"/>
    <col min="3789" max="3789" width="9.140625" style="81" customWidth="1"/>
    <col min="3790" max="3791" width="3.85546875" style="81" customWidth="1"/>
    <col min="3792" max="3792" width="10.5703125" style="81" customWidth="1"/>
    <col min="3793" max="3793" width="3.85546875" style="81" customWidth="1"/>
    <col min="3794" max="3796" width="14.42578125" style="81" customWidth="1"/>
    <col min="3797" max="3797" width="4.140625" style="81" customWidth="1"/>
    <col min="3798" max="3798" width="15" style="81" customWidth="1"/>
    <col min="3799" max="3800" width="9.140625" style="81" customWidth="1"/>
    <col min="3801" max="3801" width="11.5703125" style="81" customWidth="1"/>
    <col min="3802" max="3802" width="18.140625" style="81" customWidth="1"/>
    <col min="3803" max="3803" width="13.140625" style="81" customWidth="1"/>
    <col min="3804" max="3804" width="12.28515625" style="81" customWidth="1"/>
    <col min="3805" max="4042" width="9.140625" style="81"/>
    <col min="4043" max="4043" width="1.42578125" style="81" customWidth="1"/>
    <col min="4044" max="4044" width="59.5703125" style="81" customWidth="1"/>
    <col min="4045" max="4045" width="9.140625" style="81" customWidth="1"/>
    <col min="4046" max="4047" width="3.85546875" style="81" customWidth="1"/>
    <col min="4048" max="4048" width="10.5703125" style="81" customWidth="1"/>
    <col min="4049" max="4049" width="3.85546875" style="81" customWidth="1"/>
    <col min="4050" max="4052" width="14.42578125" style="81" customWidth="1"/>
    <col min="4053" max="4053" width="4.140625" style="81" customWidth="1"/>
    <col min="4054" max="4054" width="15" style="81" customWidth="1"/>
    <col min="4055" max="4056" width="9.140625" style="81" customWidth="1"/>
    <col min="4057" max="4057" width="11.5703125" style="81" customWidth="1"/>
    <col min="4058" max="4058" width="18.140625" style="81" customWidth="1"/>
    <col min="4059" max="4059" width="13.140625" style="81" customWidth="1"/>
    <col min="4060" max="4060" width="12.28515625" style="81" customWidth="1"/>
    <col min="4061" max="4298" width="9.140625" style="81"/>
    <col min="4299" max="4299" width="1.42578125" style="81" customWidth="1"/>
    <col min="4300" max="4300" width="59.5703125" style="81" customWidth="1"/>
    <col min="4301" max="4301" width="9.140625" style="81" customWidth="1"/>
    <col min="4302" max="4303" width="3.85546875" style="81" customWidth="1"/>
    <col min="4304" max="4304" width="10.5703125" style="81" customWidth="1"/>
    <col min="4305" max="4305" width="3.85546875" style="81" customWidth="1"/>
    <col min="4306" max="4308" width="14.42578125" style="81" customWidth="1"/>
    <col min="4309" max="4309" width="4.140625" style="81" customWidth="1"/>
    <col min="4310" max="4310" width="15" style="81" customWidth="1"/>
    <col min="4311" max="4312" width="9.140625" style="81" customWidth="1"/>
    <col min="4313" max="4313" width="11.5703125" style="81" customWidth="1"/>
    <col min="4314" max="4314" width="18.140625" style="81" customWidth="1"/>
    <col min="4315" max="4315" width="13.140625" style="81" customWidth="1"/>
    <col min="4316" max="4316" width="12.28515625" style="81" customWidth="1"/>
    <col min="4317" max="4554" width="9.140625" style="81"/>
    <col min="4555" max="4555" width="1.42578125" style="81" customWidth="1"/>
    <col min="4556" max="4556" width="59.5703125" style="81" customWidth="1"/>
    <col min="4557" max="4557" width="9.140625" style="81" customWidth="1"/>
    <col min="4558" max="4559" width="3.85546875" style="81" customWidth="1"/>
    <col min="4560" max="4560" width="10.5703125" style="81" customWidth="1"/>
    <col min="4561" max="4561" width="3.85546875" style="81" customWidth="1"/>
    <col min="4562" max="4564" width="14.42578125" style="81" customWidth="1"/>
    <col min="4565" max="4565" width="4.140625" style="81" customWidth="1"/>
    <col min="4566" max="4566" width="15" style="81" customWidth="1"/>
    <col min="4567" max="4568" width="9.140625" style="81" customWidth="1"/>
    <col min="4569" max="4569" width="11.5703125" style="81" customWidth="1"/>
    <col min="4570" max="4570" width="18.140625" style="81" customWidth="1"/>
    <col min="4571" max="4571" width="13.140625" style="81" customWidth="1"/>
    <col min="4572" max="4572" width="12.28515625" style="81" customWidth="1"/>
    <col min="4573" max="4810" width="9.140625" style="81"/>
    <col min="4811" max="4811" width="1.42578125" style="81" customWidth="1"/>
    <col min="4812" max="4812" width="59.5703125" style="81" customWidth="1"/>
    <col min="4813" max="4813" width="9.140625" style="81" customWidth="1"/>
    <col min="4814" max="4815" width="3.85546875" style="81" customWidth="1"/>
    <col min="4816" max="4816" width="10.5703125" style="81" customWidth="1"/>
    <col min="4817" max="4817" width="3.85546875" style="81" customWidth="1"/>
    <col min="4818" max="4820" width="14.42578125" style="81" customWidth="1"/>
    <col min="4821" max="4821" width="4.140625" style="81" customWidth="1"/>
    <col min="4822" max="4822" width="15" style="81" customWidth="1"/>
    <col min="4823" max="4824" width="9.140625" style="81" customWidth="1"/>
    <col min="4825" max="4825" width="11.5703125" style="81" customWidth="1"/>
    <col min="4826" max="4826" width="18.140625" style="81" customWidth="1"/>
    <col min="4827" max="4827" width="13.140625" style="81" customWidth="1"/>
    <col min="4828" max="4828" width="12.28515625" style="81" customWidth="1"/>
    <col min="4829" max="5066" width="9.140625" style="81"/>
    <col min="5067" max="5067" width="1.42578125" style="81" customWidth="1"/>
    <col min="5068" max="5068" width="59.5703125" style="81" customWidth="1"/>
    <col min="5069" max="5069" width="9.140625" style="81" customWidth="1"/>
    <col min="5070" max="5071" width="3.85546875" style="81" customWidth="1"/>
    <col min="5072" max="5072" width="10.5703125" style="81" customWidth="1"/>
    <col min="5073" max="5073" width="3.85546875" style="81" customWidth="1"/>
    <col min="5074" max="5076" width="14.42578125" style="81" customWidth="1"/>
    <col min="5077" max="5077" width="4.140625" style="81" customWidth="1"/>
    <col min="5078" max="5078" width="15" style="81" customWidth="1"/>
    <col min="5079" max="5080" width="9.140625" style="81" customWidth="1"/>
    <col min="5081" max="5081" width="11.5703125" style="81" customWidth="1"/>
    <col min="5082" max="5082" width="18.140625" style="81" customWidth="1"/>
    <col min="5083" max="5083" width="13.140625" style="81" customWidth="1"/>
    <col min="5084" max="5084" width="12.28515625" style="81" customWidth="1"/>
    <col min="5085" max="5322" width="9.140625" style="81"/>
    <col min="5323" max="5323" width="1.42578125" style="81" customWidth="1"/>
    <col min="5324" max="5324" width="59.5703125" style="81" customWidth="1"/>
    <col min="5325" max="5325" width="9.140625" style="81" customWidth="1"/>
    <col min="5326" max="5327" width="3.85546875" style="81" customWidth="1"/>
    <col min="5328" max="5328" width="10.5703125" style="81" customWidth="1"/>
    <col min="5329" max="5329" width="3.85546875" style="81" customWidth="1"/>
    <col min="5330" max="5332" width="14.42578125" style="81" customWidth="1"/>
    <col min="5333" max="5333" width="4.140625" style="81" customWidth="1"/>
    <col min="5334" max="5334" width="15" style="81" customWidth="1"/>
    <col min="5335" max="5336" width="9.140625" style="81" customWidth="1"/>
    <col min="5337" max="5337" width="11.5703125" style="81" customWidth="1"/>
    <col min="5338" max="5338" width="18.140625" style="81" customWidth="1"/>
    <col min="5339" max="5339" width="13.140625" style="81" customWidth="1"/>
    <col min="5340" max="5340" width="12.28515625" style="81" customWidth="1"/>
    <col min="5341" max="5578" width="9.140625" style="81"/>
    <col min="5579" max="5579" width="1.42578125" style="81" customWidth="1"/>
    <col min="5580" max="5580" width="59.5703125" style="81" customWidth="1"/>
    <col min="5581" max="5581" width="9.140625" style="81" customWidth="1"/>
    <col min="5582" max="5583" width="3.85546875" style="81" customWidth="1"/>
    <col min="5584" max="5584" width="10.5703125" style="81" customWidth="1"/>
    <col min="5585" max="5585" width="3.85546875" style="81" customWidth="1"/>
    <col min="5586" max="5588" width="14.42578125" style="81" customWidth="1"/>
    <col min="5589" max="5589" width="4.140625" style="81" customWidth="1"/>
    <col min="5590" max="5590" width="15" style="81" customWidth="1"/>
    <col min="5591" max="5592" width="9.140625" style="81" customWidth="1"/>
    <col min="5593" max="5593" width="11.5703125" style="81" customWidth="1"/>
    <col min="5594" max="5594" width="18.140625" style="81" customWidth="1"/>
    <col min="5595" max="5595" width="13.140625" style="81" customWidth="1"/>
    <col min="5596" max="5596" width="12.28515625" style="81" customWidth="1"/>
    <col min="5597" max="5834" width="9.140625" style="81"/>
    <col min="5835" max="5835" width="1.42578125" style="81" customWidth="1"/>
    <col min="5836" max="5836" width="59.5703125" style="81" customWidth="1"/>
    <col min="5837" max="5837" width="9.140625" style="81" customWidth="1"/>
    <col min="5838" max="5839" width="3.85546875" style="81" customWidth="1"/>
    <col min="5840" max="5840" width="10.5703125" style="81" customWidth="1"/>
    <col min="5841" max="5841" width="3.85546875" style="81" customWidth="1"/>
    <col min="5842" max="5844" width="14.42578125" style="81" customWidth="1"/>
    <col min="5845" max="5845" width="4.140625" style="81" customWidth="1"/>
    <col min="5846" max="5846" width="15" style="81" customWidth="1"/>
    <col min="5847" max="5848" width="9.140625" style="81" customWidth="1"/>
    <col min="5849" max="5849" width="11.5703125" style="81" customWidth="1"/>
    <col min="5850" max="5850" width="18.140625" style="81" customWidth="1"/>
    <col min="5851" max="5851" width="13.140625" style="81" customWidth="1"/>
    <col min="5852" max="5852" width="12.28515625" style="81" customWidth="1"/>
    <col min="5853" max="6090" width="9.140625" style="81"/>
    <col min="6091" max="6091" width="1.42578125" style="81" customWidth="1"/>
    <col min="6092" max="6092" width="59.5703125" style="81" customWidth="1"/>
    <col min="6093" max="6093" width="9.140625" style="81" customWidth="1"/>
    <col min="6094" max="6095" width="3.85546875" style="81" customWidth="1"/>
    <col min="6096" max="6096" width="10.5703125" style="81" customWidth="1"/>
    <col min="6097" max="6097" width="3.85546875" style="81" customWidth="1"/>
    <col min="6098" max="6100" width="14.42578125" style="81" customWidth="1"/>
    <col min="6101" max="6101" width="4.140625" style="81" customWidth="1"/>
    <col min="6102" max="6102" width="15" style="81" customWidth="1"/>
    <col min="6103" max="6104" width="9.140625" style="81" customWidth="1"/>
    <col min="6105" max="6105" width="11.5703125" style="81" customWidth="1"/>
    <col min="6106" max="6106" width="18.140625" style="81" customWidth="1"/>
    <col min="6107" max="6107" width="13.140625" style="81" customWidth="1"/>
    <col min="6108" max="6108" width="12.28515625" style="81" customWidth="1"/>
    <col min="6109" max="6346" width="9.140625" style="81"/>
    <col min="6347" max="6347" width="1.42578125" style="81" customWidth="1"/>
    <col min="6348" max="6348" width="59.5703125" style="81" customWidth="1"/>
    <col min="6349" max="6349" width="9.140625" style="81" customWidth="1"/>
    <col min="6350" max="6351" width="3.85546875" style="81" customWidth="1"/>
    <col min="6352" max="6352" width="10.5703125" style="81" customWidth="1"/>
    <col min="6353" max="6353" width="3.85546875" style="81" customWidth="1"/>
    <col min="6354" max="6356" width="14.42578125" style="81" customWidth="1"/>
    <col min="6357" max="6357" width="4.140625" style="81" customWidth="1"/>
    <col min="6358" max="6358" width="15" style="81" customWidth="1"/>
    <col min="6359" max="6360" width="9.140625" style="81" customWidth="1"/>
    <col min="6361" max="6361" width="11.5703125" style="81" customWidth="1"/>
    <col min="6362" max="6362" width="18.140625" style="81" customWidth="1"/>
    <col min="6363" max="6363" width="13.140625" style="81" customWidth="1"/>
    <col min="6364" max="6364" width="12.28515625" style="81" customWidth="1"/>
    <col min="6365" max="6602" width="9.140625" style="81"/>
    <col min="6603" max="6603" width="1.42578125" style="81" customWidth="1"/>
    <col min="6604" max="6604" width="59.5703125" style="81" customWidth="1"/>
    <col min="6605" max="6605" width="9.140625" style="81" customWidth="1"/>
    <col min="6606" max="6607" width="3.85546875" style="81" customWidth="1"/>
    <col min="6608" max="6608" width="10.5703125" style="81" customWidth="1"/>
    <col min="6609" max="6609" width="3.85546875" style="81" customWidth="1"/>
    <col min="6610" max="6612" width="14.42578125" style="81" customWidth="1"/>
    <col min="6613" max="6613" width="4.140625" style="81" customWidth="1"/>
    <col min="6614" max="6614" width="15" style="81" customWidth="1"/>
    <col min="6615" max="6616" width="9.140625" style="81" customWidth="1"/>
    <col min="6617" max="6617" width="11.5703125" style="81" customWidth="1"/>
    <col min="6618" max="6618" width="18.140625" style="81" customWidth="1"/>
    <col min="6619" max="6619" width="13.140625" style="81" customWidth="1"/>
    <col min="6620" max="6620" width="12.28515625" style="81" customWidth="1"/>
    <col min="6621" max="6858" width="9.140625" style="81"/>
    <col min="6859" max="6859" width="1.42578125" style="81" customWidth="1"/>
    <col min="6860" max="6860" width="59.5703125" style="81" customWidth="1"/>
    <col min="6861" max="6861" width="9.140625" style="81" customWidth="1"/>
    <col min="6862" max="6863" width="3.85546875" style="81" customWidth="1"/>
    <col min="6864" max="6864" width="10.5703125" style="81" customWidth="1"/>
    <col min="6865" max="6865" width="3.85546875" style="81" customWidth="1"/>
    <col min="6866" max="6868" width="14.42578125" style="81" customWidth="1"/>
    <col min="6869" max="6869" width="4.140625" style="81" customWidth="1"/>
    <col min="6870" max="6870" width="15" style="81" customWidth="1"/>
    <col min="6871" max="6872" width="9.140625" style="81" customWidth="1"/>
    <col min="6873" max="6873" width="11.5703125" style="81" customWidth="1"/>
    <col min="6874" max="6874" width="18.140625" style="81" customWidth="1"/>
    <col min="6875" max="6875" width="13.140625" style="81" customWidth="1"/>
    <col min="6876" max="6876" width="12.28515625" style="81" customWidth="1"/>
    <col min="6877" max="7114" width="9.140625" style="81"/>
    <col min="7115" max="7115" width="1.42578125" style="81" customWidth="1"/>
    <col min="7116" max="7116" width="59.5703125" style="81" customWidth="1"/>
    <col min="7117" max="7117" width="9.140625" style="81" customWidth="1"/>
    <col min="7118" max="7119" width="3.85546875" style="81" customWidth="1"/>
    <col min="7120" max="7120" width="10.5703125" style="81" customWidth="1"/>
    <col min="7121" max="7121" width="3.85546875" style="81" customWidth="1"/>
    <col min="7122" max="7124" width="14.42578125" style="81" customWidth="1"/>
    <col min="7125" max="7125" width="4.140625" style="81" customWidth="1"/>
    <col min="7126" max="7126" width="15" style="81" customWidth="1"/>
    <col min="7127" max="7128" width="9.140625" style="81" customWidth="1"/>
    <col min="7129" max="7129" width="11.5703125" style="81" customWidth="1"/>
    <col min="7130" max="7130" width="18.140625" style="81" customWidth="1"/>
    <col min="7131" max="7131" width="13.140625" style="81" customWidth="1"/>
    <col min="7132" max="7132" width="12.28515625" style="81" customWidth="1"/>
    <col min="7133" max="7370" width="9.140625" style="81"/>
    <col min="7371" max="7371" width="1.42578125" style="81" customWidth="1"/>
    <col min="7372" max="7372" width="59.5703125" style="81" customWidth="1"/>
    <col min="7373" max="7373" width="9.140625" style="81" customWidth="1"/>
    <col min="7374" max="7375" width="3.85546875" style="81" customWidth="1"/>
    <col min="7376" max="7376" width="10.5703125" style="81" customWidth="1"/>
    <col min="7377" max="7377" width="3.85546875" style="81" customWidth="1"/>
    <col min="7378" max="7380" width="14.42578125" style="81" customWidth="1"/>
    <col min="7381" max="7381" width="4.140625" style="81" customWidth="1"/>
    <col min="7382" max="7382" width="15" style="81" customWidth="1"/>
    <col min="7383" max="7384" width="9.140625" style="81" customWidth="1"/>
    <col min="7385" max="7385" width="11.5703125" style="81" customWidth="1"/>
    <col min="7386" max="7386" width="18.140625" style="81" customWidth="1"/>
    <col min="7387" max="7387" width="13.140625" style="81" customWidth="1"/>
    <col min="7388" max="7388" width="12.28515625" style="81" customWidth="1"/>
    <col min="7389" max="7626" width="9.140625" style="81"/>
    <col min="7627" max="7627" width="1.42578125" style="81" customWidth="1"/>
    <col min="7628" max="7628" width="59.5703125" style="81" customWidth="1"/>
    <col min="7629" max="7629" width="9.140625" style="81" customWidth="1"/>
    <col min="7630" max="7631" width="3.85546875" style="81" customWidth="1"/>
    <col min="7632" max="7632" width="10.5703125" style="81" customWidth="1"/>
    <col min="7633" max="7633" width="3.85546875" style="81" customWidth="1"/>
    <col min="7634" max="7636" width="14.42578125" style="81" customWidth="1"/>
    <col min="7637" max="7637" width="4.140625" style="81" customWidth="1"/>
    <col min="7638" max="7638" width="15" style="81" customWidth="1"/>
    <col min="7639" max="7640" width="9.140625" style="81" customWidth="1"/>
    <col min="7641" max="7641" width="11.5703125" style="81" customWidth="1"/>
    <col min="7642" max="7642" width="18.140625" style="81" customWidth="1"/>
    <col min="7643" max="7643" width="13.140625" style="81" customWidth="1"/>
    <col min="7644" max="7644" width="12.28515625" style="81" customWidth="1"/>
    <col min="7645" max="7882" width="9.140625" style="81"/>
    <col min="7883" max="7883" width="1.42578125" style="81" customWidth="1"/>
    <col min="7884" max="7884" width="59.5703125" style="81" customWidth="1"/>
    <col min="7885" max="7885" width="9.140625" style="81" customWidth="1"/>
    <col min="7886" max="7887" width="3.85546875" style="81" customWidth="1"/>
    <col min="7888" max="7888" width="10.5703125" style="81" customWidth="1"/>
    <col min="7889" max="7889" width="3.85546875" style="81" customWidth="1"/>
    <col min="7890" max="7892" width="14.42578125" style="81" customWidth="1"/>
    <col min="7893" max="7893" width="4.140625" style="81" customWidth="1"/>
    <col min="7894" max="7894" width="15" style="81" customWidth="1"/>
    <col min="7895" max="7896" width="9.140625" style="81" customWidth="1"/>
    <col min="7897" max="7897" width="11.5703125" style="81" customWidth="1"/>
    <col min="7898" max="7898" width="18.140625" style="81" customWidth="1"/>
    <col min="7899" max="7899" width="13.140625" style="81" customWidth="1"/>
    <col min="7900" max="7900" width="12.28515625" style="81" customWidth="1"/>
    <col min="7901" max="8138" width="9.140625" style="81"/>
    <col min="8139" max="8139" width="1.42578125" style="81" customWidth="1"/>
    <col min="8140" max="8140" width="59.5703125" style="81" customWidth="1"/>
    <col min="8141" max="8141" width="9.140625" style="81" customWidth="1"/>
    <col min="8142" max="8143" width="3.85546875" style="81" customWidth="1"/>
    <col min="8144" max="8144" width="10.5703125" style="81" customWidth="1"/>
    <col min="8145" max="8145" width="3.85546875" style="81" customWidth="1"/>
    <col min="8146" max="8148" width="14.42578125" style="81" customWidth="1"/>
    <col min="8149" max="8149" width="4.140625" style="81" customWidth="1"/>
    <col min="8150" max="8150" width="15" style="81" customWidth="1"/>
    <col min="8151" max="8152" width="9.140625" style="81" customWidth="1"/>
    <col min="8153" max="8153" width="11.5703125" style="81" customWidth="1"/>
    <col min="8154" max="8154" width="18.140625" style="81" customWidth="1"/>
    <col min="8155" max="8155" width="13.140625" style="81" customWidth="1"/>
    <col min="8156" max="8156" width="12.28515625" style="81" customWidth="1"/>
    <col min="8157" max="8394" width="9.140625" style="81"/>
    <col min="8395" max="8395" width="1.42578125" style="81" customWidth="1"/>
    <col min="8396" max="8396" width="59.5703125" style="81" customWidth="1"/>
    <col min="8397" max="8397" width="9.140625" style="81" customWidth="1"/>
    <col min="8398" max="8399" width="3.85546875" style="81" customWidth="1"/>
    <col min="8400" max="8400" width="10.5703125" style="81" customWidth="1"/>
    <col min="8401" max="8401" width="3.85546875" style="81" customWidth="1"/>
    <col min="8402" max="8404" width="14.42578125" style="81" customWidth="1"/>
    <col min="8405" max="8405" width="4.140625" style="81" customWidth="1"/>
    <col min="8406" max="8406" width="15" style="81" customWidth="1"/>
    <col min="8407" max="8408" width="9.140625" style="81" customWidth="1"/>
    <col min="8409" max="8409" width="11.5703125" style="81" customWidth="1"/>
    <col min="8410" max="8410" width="18.140625" style="81" customWidth="1"/>
    <col min="8411" max="8411" width="13.140625" style="81" customWidth="1"/>
    <col min="8412" max="8412" width="12.28515625" style="81" customWidth="1"/>
    <col min="8413" max="8650" width="9.140625" style="81"/>
    <col min="8651" max="8651" width="1.42578125" style="81" customWidth="1"/>
    <col min="8652" max="8652" width="59.5703125" style="81" customWidth="1"/>
    <col min="8653" max="8653" width="9.140625" style="81" customWidth="1"/>
    <col min="8654" max="8655" width="3.85546875" style="81" customWidth="1"/>
    <col min="8656" max="8656" width="10.5703125" style="81" customWidth="1"/>
    <col min="8657" max="8657" width="3.85546875" style="81" customWidth="1"/>
    <col min="8658" max="8660" width="14.42578125" style="81" customWidth="1"/>
    <col min="8661" max="8661" width="4.140625" style="81" customWidth="1"/>
    <col min="8662" max="8662" width="15" style="81" customWidth="1"/>
    <col min="8663" max="8664" width="9.140625" style="81" customWidth="1"/>
    <col min="8665" max="8665" width="11.5703125" style="81" customWidth="1"/>
    <col min="8666" max="8666" width="18.140625" style="81" customWidth="1"/>
    <col min="8667" max="8667" width="13.140625" style="81" customWidth="1"/>
    <col min="8668" max="8668" width="12.28515625" style="81" customWidth="1"/>
    <col min="8669" max="8906" width="9.140625" style="81"/>
    <col min="8907" max="8907" width="1.42578125" style="81" customWidth="1"/>
    <col min="8908" max="8908" width="59.5703125" style="81" customWidth="1"/>
    <col min="8909" max="8909" width="9.140625" style="81" customWidth="1"/>
    <col min="8910" max="8911" width="3.85546875" style="81" customWidth="1"/>
    <col min="8912" max="8912" width="10.5703125" style="81" customWidth="1"/>
    <col min="8913" max="8913" width="3.85546875" style="81" customWidth="1"/>
    <col min="8914" max="8916" width="14.42578125" style="81" customWidth="1"/>
    <col min="8917" max="8917" width="4.140625" style="81" customWidth="1"/>
    <col min="8918" max="8918" width="15" style="81" customWidth="1"/>
    <col min="8919" max="8920" width="9.140625" style="81" customWidth="1"/>
    <col min="8921" max="8921" width="11.5703125" style="81" customWidth="1"/>
    <col min="8922" max="8922" width="18.140625" style="81" customWidth="1"/>
    <col min="8923" max="8923" width="13.140625" style="81" customWidth="1"/>
    <col min="8924" max="8924" width="12.28515625" style="81" customWidth="1"/>
    <col min="8925" max="9162" width="9.140625" style="81"/>
    <col min="9163" max="9163" width="1.42578125" style="81" customWidth="1"/>
    <col min="9164" max="9164" width="59.5703125" style="81" customWidth="1"/>
    <col min="9165" max="9165" width="9.140625" style="81" customWidth="1"/>
    <col min="9166" max="9167" width="3.85546875" style="81" customWidth="1"/>
    <col min="9168" max="9168" width="10.5703125" style="81" customWidth="1"/>
    <col min="9169" max="9169" width="3.85546875" style="81" customWidth="1"/>
    <col min="9170" max="9172" width="14.42578125" style="81" customWidth="1"/>
    <col min="9173" max="9173" width="4.140625" style="81" customWidth="1"/>
    <col min="9174" max="9174" width="15" style="81" customWidth="1"/>
    <col min="9175" max="9176" width="9.140625" style="81" customWidth="1"/>
    <col min="9177" max="9177" width="11.5703125" style="81" customWidth="1"/>
    <col min="9178" max="9178" width="18.140625" style="81" customWidth="1"/>
    <col min="9179" max="9179" width="13.140625" style="81" customWidth="1"/>
    <col min="9180" max="9180" width="12.28515625" style="81" customWidth="1"/>
    <col min="9181" max="9418" width="9.140625" style="81"/>
    <col min="9419" max="9419" width="1.42578125" style="81" customWidth="1"/>
    <col min="9420" max="9420" width="59.5703125" style="81" customWidth="1"/>
    <col min="9421" max="9421" width="9.140625" style="81" customWidth="1"/>
    <col min="9422" max="9423" width="3.85546875" style="81" customWidth="1"/>
    <col min="9424" max="9424" width="10.5703125" style="81" customWidth="1"/>
    <col min="9425" max="9425" width="3.85546875" style="81" customWidth="1"/>
    <col min="9426" max="9428" width="14.42578125" style="81" customWidth="1"/>
    <col min="9429" max="9429" width="4.140625" style="81" customWidth="1"/>
    <col min="9430" max="9430" width="15" style="81" customWidth="1"/>
    <col min="9431" max="9432" width="9.140625" style="81" customWidth="1"/>
    <col min="9433" max="9433" width="11.5703125" style="81" customWidth="1"/>
    <col min="9434" max="9434" width="18.140625" style="81" customWidth="1"/>
    <col min="9435" max="9435" width="13.140625" style="81" customWidth="1"/>
    <col min="9436" max="9436" width="12.28515625" style="81" customWidth="1"/>
    <col min="9437" max="9674" width="9.140625" style="81"/>
    <col min="9675" max="9675" width="1.42578125" style="81" customWidth="1"/>
    <col min="9676" max="9676" width="59.5703125" style="81" customWidth="1"/>
    <col min="9677" max="9677" width="9.140625" style="81" customWidth="1"/>
    <col min="9678" max="9679" width="3.85546875" style="81" customWidth="1"/>
    <col min="9680" max="9680" width="10.5703125" style="81" customWidth="1"/>
    <col min="9681" max="9681" width="3.85546875" style="81" customWidth="1"/>
    <col min="9682" max="9684" width="14.42578125" style="81" customWidth="1"/>
    <col min="9685" max="9685" width="4.140625" style="81" customWidth="1"/>
    <col min="9686" max="9686" width="15" style="81" customWidth="1"/>
    <col min="9687" max="9688" width="9.140625" style="81" customWidth="1"/>
    <col min="9689" max="9689" width="11.5703125" style="81" customWidth="1"/>
    <col min="9690" max="9690" width="18.140625" style="81" customWidth="1"/>
    <col min="9691" max="9691" width="13.140625" style="81" customWidth="1"/>
    <col min="9692" max="9692" width="12.28515625" style="81" customWidth="1"/>
    <col min="9693" max="9930" width="9.140625" style="81"/>
    <col min="9931" max="9931" width="1.42578125" style="81" customWidth="1"/>
    <col min="9932" max="9932" width="59.5703125" style="81" customWidth="1"/>
    <col min="9933" max="9933" width="9.140625" style="81" customWidth="1"/>
    <col min="9934" max="9935" width="3.85546875" style="81" customWidth="1"/>
    <col min="9936" max="9936" width="10.5703125" style="81" customWidth="1"/>
    <col min="9937" max="9937" width="3.85546875" style="81" customWidth="1"/>
    <col min="9938" max="9940" width="14.42578125" style="81" customWidth="1"/>
    <col min="9941" max="9941" width="4.140625" style="81" customWidth="1"/>
    <col min="9942" max="9942" width="15" style="81" customWidth="1"/>
    <col min="9943" max="9944" width="9.140625" style="81" customWidth="1"/>
    <col min="9945" max="9945" width="11.5703125" style="81" customWidth="1"/>
    <col min="9946" max="9946" width="18.140625" style="81" customWidth="1"/>
    <col min="9947" max="9947" width="13.140625" style="81" customWidth="1"/>
    <col min="9948" max="9948" width="12.28515625" style="81" customWidth="1"/>
    <col min="9949" max="10186" width="9.140625" style="81"/>
    <col min="10187" max="10187" width="1.42578125" style="81" customWidth="1"/>
    <col min="10188" max="10188" width="59.5703125" style="81" customWidth="1"/>
    <col min="10189" max="10189" width="9.140625" style="81" customWidth="1"/>
    <col min="10190" max="10191" width="3.85546875" style="81" customWidth="1"/>
    <col min="10192" max="10192" width="10.5703125" style="81" customWidth="1"/>
    <col min="10193" max="10193" width="3.85546875" style="81" customWidth="1"/>
    <col min="10194" max="10196" width="14.42578125" style="81" customWidth="1"/>
    <col min="10197" max="10197" width="4.140625" style="81" customWidth="1"/>
    <col min="10198" max="10198" width="15" style="81" customWidth="1"/>
    <col min="10199" max="10200" width="9.140625" style="81" customWidth="1"/>
    <col min="10201" max="10201" width="11.5703125" style="81" customWidth="1"/>
    <col min="10202" max="10202" width="18.140625" style="81" customWidth="1"/>
    <col min="10203" max="10203" width="13.140625" style="81" customWidth="1"/>
    <col min="10204" max="10204" width="12.28515625" style="81" customWidth="1"/>
    <col min="10205" max="10442" width="9.140625" style="81"/>
    <col min="10443" max="10443" width="1.42578125" style="81" customWidth="1"/>
    <col min="10444" max="10444" width="59.5703125" style="81" customWidth="1"/>
    <col min="10445" max="10445" width="9.140625" style="81" customWidth="1"/>
    <col min="10446" max="10447" width="3.85546875" style="81" customWidth="1"/>
    <col min="10448" max="10448" width="10.5703125" style="81" customWidth="1"/>
    <col min="10449" max="10449" width="3.85546875" style="81" customWidth="1"/>
    <col min="10450" max="10452" width="14.42578125" style="81" customWidth="1"/>
    <col min="10453" max="10453" width="4.140625" style="81" customWidth="1"/>
    <col min="10454" max="10454" width="15" style="81" customWidth="1"/>
    <col min="10455" max="10456" width="9.140625" style="81" customWidth="1"/>
    <col min="10457" max="10457" width="11.5703125" style="81" customWidth="1"/>
    <col min="10458" max="10458" width="18.140625" style="81" customWidth="1"/>
    <col min="10459" max="10459" width="13.140625" style="81" customWidth="1"/>
    <col min="10460" max="10460" width="12.28515625" style="81" customWidth="1"/>
    <col min="10461" max="10698" width="9.140625" style="81"/>
    <col min="10699" max="10699" width="1.42578125" style="81" customWidth="1"/>
    <col min="10700" max="10700" width="59.5703125" style="81" customWidth="1"/>
    <col min="10701" max="10701" width="9.140625" style="81" customWidth="1"/>
    <col min="10702" max="10703" width="3.85546875" style="81" customWidth="1"/>
    <col min="10704" max="10704" width="10.5703125" style="81" customWidth="1"/>
    <col min="10705" max="10705" width="3.85546875" style="81" customWidth="1"/>
    <col min="10706" max="10708" width="14.42578125" style="81" customWidth="1"/>
    <col min="10709" max="10709" width="4.140625" style="81" customWidth="1"/>
    <col min="10710" max="10710" width="15" style="81" customWidth="1"/>
    <col min="10711" max="10712" width="9.140625" style="81" customWidth="1"/>
    <col min="10713" max="10713" width="11.5703125" style="81" customWidth="1"/>
    <col min="10714" max="10714" width="18.140625" style="81" customWidth="1"/>
    <col min="10715" max="10715" width="13.140625" style="81" customWidth="1"/>
    <col min="10716" max="10716" width="12.28515625" style="81" customWidth="1"/>
    <col min="10717" max="10954" width="9.140625" style="81"/>
    <col min="10955" max="10955" width="1.42578125" style="81" customWidth="1"/>
    <col min="10956" max="10956" width="59.5703125" style="81" customWidth="1"/>
    <col min="10957" max="10957" width="9.140625" style="81" customWidth="1"/>
    <col min="10958" max="10959" width="3.85546875" style="81" customWidth="1"/>
    <col min="10960" max="10960" width="10.5703125" style="81" customWidth="1"/>
    <col min="10961" max="10961" width="3.85546875" style="81" customWidth="1"/>
    <col min="10962" max="10964" width="14.42578125" style="81" customWidth="1"/>
    <col min="10965" max="10965" width="4.140625" style="81" customWidth="1"/>
    <col min="10966" max="10966" width="15" style="81" customWidth="1"/>
    <col min="10967" max="10968" width="9.140625" style="81" customWidth="1"/>
    <col min="10969" max="10969" width="11.5703125" style="81" customWidth="1"/>
    <col min="10970" max="10970" width="18.140625" style="81" customWidth="1"/>
    <col min="10971" max="10971" width="13.140625" style="81" customWidth="1"/>
    <col min="10972" max="10972" width="12.28515625" style="81" customWidth="1"/>
    <col min="10973" max="11210" width="9.140625" style="81"/>
    <col min="11211" max="11211" width="1.42578125" style="81" customWidth="1"/>
    <col min="11212" max="11212" width="59.5703125" style="81" customWidth="1"/>
    <col min="11213" max="11213" width="9.140625" style="81" customWidth="1"/>
    <col min="11214" max="11215" width="3.85546875" style="81" customWidth="1"/>
    <col min="11216" max="11216" width="10.5703125" style="81" customWidth="1"/>
    <col min="11217" max="11217" width="3.85546875" style="81" customWidth="1"/>
    <col min="11218" max="11220" width="14.42578125" style="81" customWidth="1"/>
    <col min="11221" max="11221" width="4.140625" style="81" customWidth="1"/>
    <col min="11222" max="11222" width="15" style="81" customWidth="1"/>
    <col min="11223" max="11224" width="9.140625" style="81" customWidth="1"/>
    <col min="11225" max="11225" width="11.5703125" style="81" customWidth="1"/>
    <col min="11226" max="11226" width="18.140625" style="81" customWidth="1"/>
    <col min="11227" max="11227" width="13.140625" style="81" customWidth="1"/>
    <col min="11228" max="11228" width="12.28515625" style="81" customWidth="1"/>
    <col min="11229" max="11466" width="9.140625" style="81"/>
    <col min="11467" max="11467" width="1.42578125" style="81" customWidth="1"/>
    <col min="11468" max="11468" width="59.5703125" style="81" customWidth="1"/>
    <col min="11469" max="11469" width="9.140625" style="81" customWidth="1"/>
    <col min="11470" max="11471" width="3.85546875" style="81" customWidth="1"/>
    <col min="11472" max="11472" width="10.5703125" style="81" customWidth="1"/>
    <col min="11473" max="11473" width="3.85546875" style="81" customWidth="1"/>
    <col min="11474" max="11476" width="14.42578125" style="81" customWidth="1"/>
    <col min="11477" max="11477" width="4.140625" style="81" customWidth="1"/>
    <col min="11478" max="11478" width="15" style="81" customWidth="1"/>
    <col min="11479" max="11480" width="9.140625" style="81" customWidth="1"/>
    <col min="11481" max="11481" width="11.5703125" style="81" customWidth="1"/>
    <col min="11482" max="11482" width="18.140625" style="81" customWidth="1"/>
    <col min="11483" max="11483" width="13.140625" style="81" customWidth="1"/>
    <col min="11484" max="11484" width="12.28515625" style="81" customWidth="1"/>
    <col min="11485" max="11722" width="9.140625" style="81"/>
    <col min="11723" max="11723" width="1.42578125" style="81" customWidth="1"/>
    <col min="11724" max="11724" width="59.5703125" style="81" customWidth="1"/>
    <col min="11725" max="11725" width="9.140625" style="81" customWidth="1"/>
    <col min="11726" max="11727" width="3.85546875" style="81" customWidth="1"/>
    <col min="11728" max="11728" width="10.5703125" style="81" customWidth="1"/>
    <col min="11729" max="11729" width="3.85546875" style="81" customWidth="1"/>
    <col min="11730" max="11732" width="14.42578125" style="81" customWidth="1"/>
    <col min="11733" max="11733" width="4.140625" style="81" customWidth="1"/>
    <col min="11734" max="11734" width="15" style="81" customWidth="1"/>
    <col min="11735" max="11736" width="9.140625" style="81" customWidth="1"/>
    <col min="11737" max="11737" width="11.5703125" style="81" customWidth="1"/>
    <col min="11738" max="11738" width="18.140625" style="81" customWidth="1"/>
    <col min="11739" max="11739" width="13.140625" style="81" customWidth="1"/>
    <col min="11740" max="11740" width="12.28515625" style="81" customWidth="1"/>
    <col min="11741" max="11978" width="9.140625" style="81"/>
    <col min="11979" max="11979" width="1.42578125" style="81" customWidth="1"/>
    <col min="11980" max="11980" width="59.5703125" style="81" customWidth="1"/>
    <col min="11981" max="11981" width="9.140625" style="81" customWidth="1"/>
    <col min="11982" max="11983" width="3.85546875" style="81" customWidth="1"/>
    <col min="11984" max="11984" width="10.5703125" style="81" customWidth="1"/>
    <col min="11985" max="11985" width="3.85546875" style="81" customWidth="1"/>
    <col min="11986" max="11988" width="14.42578125" style="81" customWidth="1"/>
    <col min="11989" max="11989" width="4.140625" style="81" customWidth="1"/>
    <col min="11990" max="11990" width="15" style="81" customWidth="1"/>
    <col min="11991" max="11992" width="9.140625" style="81" customWidth="1"/>
    <col min="11993" max="11993" width="11.5703125" style="81" customWidth="1"/>
    <col min="11994" max="11994" width="18.140625" style="81" customWidth="1"/>
    <col min="11995" max="11995" width="13.140625" style="81" customWidth="1"/>
    <col min="11996" max="11996" width="12.28515625" style="81" customWidth="1"/>
    <col min="11997" max="12234" width="9.140625" style="81"/>
    <col min="12235" max="12235" width="1.42578125" style="81" customWidth="1"/>
    <col min="12236" max="12236" width="59.5703125" style="81" customWidth="1"/>
    <col min="12237" max="12237" width="9.140625" style="81" customWidth="1"/>
    <col min="12238" max="12239" width="3.85546875" style="81" customWidth="1"/>
    <col min="12240" max="12240" width="10.5703125" style="81" customWidth="1"/>
    <col min="12241" max="12241" width="3.85546875" style="81" customWidth="1"/>
    <col min="12242" max="12244" width="14.42578125" style="81" customWidth="1"/>
    <col min="12245" max="12245" width="4.140625" style="81" customWidth="1"/>
    <col min="12246" max="12246" width="15" style="81" customWidth="1"/>
    <col min="12247" max="12248" width="9.140625" style="81" customWidth="1"/>
    <col min="12249" max="12249" width="11.5703125" style="81" customWidth="1"/>
    <col min="12250" max="12250" width="18.140625" style="81" customWidth="1"/>
    <col min="12251" max="12251" width="13.140625" style="81" customWidth="1"/>
    <col min="12252" max="12252" width="12.28515625" style="81" customWidth="1"/>
    <col min="12253" max="12490" width="9.140625" style="81"/>
    <col min="12491" max="12491" width="1.42578125" style="81" customWidth="1"/>
    <col min="12492" max="12492" width="59.5703125" style="81" customWidth="1"/>
    <col min="12493" max="12493" width="9.140625" style="81" customWidth="1"/>
    <col min="12494" max="12495" width="3.85546875" style="81" customWidth="1"/>
    <col min="12496" max="12496" width="10.5703125" style="81" customWidth="1"/>
    <col min="12497" max="12497" width="3.85546875" style="81" customWidth="1"/>
    <col min="12498" max="12500" width="14.42578125" style="81" customWidth="1"/>
    <col min="12501" max="12501" width="4.140625" style="81" customWidth="1"/>
    <col min="12502" max="12502" width="15" style="81" customWidth="1"/>
    <col min="12503" max="12504" width="9.140625" style="81" customWidth="1"/>
    <col min="12505" max="12505" width="11.5703125" style="81" customWidth="1"/>
    <col min="12506" max="12506" width="18.140625" style="81" customWidth="1"/>
    <col min="12507" max="12507" width="13.140625" style="81" customWidth="1"/>
    <col min="12508" max="12508" width="12.28515625" style="81" customWidth="1"/>
    <col min="12509" max="12746" width="9.140625" style="81"/>
    <col min="12747" max="12747" width="1.42578125" style="81" customWidth="1"/>
    <col min="12748" max="12748" width="59.5703125" style="81" customWidth="1"/>
    <col min="12749" max="12749" width="9.140625" style="81" customWidth="1"/>
    <col min="12750" max="12751" width="3.85546875" style="81" customWidth="1"/>
    <col min="12752" max="12752" width="10.5703125" style="81" customWidth="1"/>
    <col min="12753" max="12753" width="3.85546875" style="81" customWidth="1"/>
    <col min="12754" max="12756" width="14.42578125" style="81" customWidth="1"/>
    <col min="12757" max="12757" width="4.140625" style="81" customWidth="1"/>
    <col min="12758" max="12758" width="15" style="81" customWidth="1"/>
    <col min="12759" max="12760" width="9.140625" style="81" customWidth="1"/>
    <col min="12761" max="12761" width="11.5703125" style="81" customWidth="1"/>
    <col min="12762" max="12762" width="18.140625" style="81" customWidth="1"/>
    <col min="12763" max="12763" width="13.140625" style="81" customWidth="1"/>
    <col min="12764" max="12764" width="12.28515625" style="81" customWidth="1"/>
    <col min="12765" max="13002" width="9.140625" style="81"/>
    <col min="13003" max="13003" width="1.42578125" style="81" customWidth="1"/>
    <col min="13004" max="13004" width="59.5703125" style="81" customWidth="1"/>
    <col min="13005" max="13005" width="9.140625" style="81" customWidth="1"/>
    <col min="13006" max="13007" width="3.85546875" style="81" customWidth="1"/>
    <col min="13008" max="13008" width="10.5703125" style="81" customWidth="1"/>
    <col min="13009" max="13009" width="3.85546875" style="81" customWidth="1"/>
    <col min="13010" max="13012" width="14.42578125" style="81" customWidth="1"/>
    <col min="13013" max="13013" width="4.140625" style="81" customWidth="1"/>
    <col min="13014" max="13014" width="15" style="81" customWidth="1"/>
    <col min="13015" max="13016" width="9.140625" style="81" customWidth="1"/>
    <col min="13017" max="13017" width="11.5703125" style="81" customWidth="1"/>
    <col min="13018" max="13018" width="18.140625" style="81" customWidth="1"/>
    <col min="13019" max="13019" width="13.140625" style="81" customWidth="1"/>
    <col min="13020" max="13020" width="12.28515625" style="81" customWidth="1"/>
    <col min="13021" max="13258" width="9.140625" style="81"/>
    <col min="13259" max="13259" width="1.42578125" style="81" customWidth="1"/>
    <col min="13260" max="13260" width="59.5703125" style="81" customWidth="1"/>
    <col min="13261" max="13261" width="9.140625" style="81" customWidth="1"/>
    <col min="13262" max="13263" width="3.85546875" style="81" customWidth="1"/>
    <col min="13264" max="13264" width="10.5703125" style="81" customWidth="1"/>
    <col min="13265" max="13265" width="3.85546875" style="81" customWidth="1"/>
    <col min="13266" max="13268" width="14.42578125" style="81" customWidth="1"/>
    <col min="13269" max="13269" width="4.140625" style="81" customWidth="1"/>
    <col min="13270" max="13270" width="15" style="81" customWidth="1"/>
    <col min="13271" max="13272" width="9.140625" style="81" customWidth="1"/>
    <col min="13273" max="13273" width="11.5703125" style="81" customWidth="1"/>
    <col min="13274" max="13274" width="18.140625" style="81" customWidth="1"/>
    <col min="13275" max="13275" width="13.140625" style="81" customWidth="1"/>
    <col min="13276" max="13276" width="12.28515625" style="81" customWidth="1"/>
    <col min="13277" max="13514" width="9.140625" style="81"/>
    <col min="13515" max="13515" width="1.42578125" style="81" customWidth="1"/>
    <col min="13516" max="13516" width="59.5703125" style="81" customWidth="1"/>
    <col min="13517" max="13517" width="9.140625" style="81" customWidth="1"/>
    <col min="13518" max="13519" width="3.85546875" style="81" customWidth="1"/>
    <col min="13520" max="13520" width="10.5703125" style="81" customWidth="1"/>
    <col min="13521" max="13521" width="3.85546875" style="81" customWidth="1"/>
    <col min="13522" max="13524" width="14.42578125" style="81" customWidth="1"/>
    <col min="13525" max="13525" width="4.140625" style="81" customWidth="1"/>
    <col min="13526" max="13526" width="15" style="81" customWidth="1"/>
    <col min="13527" max="13528" width="9.140625" style="81" customWidth="1"/>
    <col min="13529" max="13529" width="11.5703125" style="81" customWidth="1"/>
    <col min="13530" max="13530" width="18.140625" style="81" customWidth="1"/>
    <col min="13531" max="13531" width="13.140625" style="81" customWidth="1"/>
    <col min="13532" max="13532" width="12.28515625" style="81" customWidth="1"/>
    <col min="13533" max="13770" width="9.140625" style="81"/>
    <col min="13771" max="13771" width="1.42578125" style="81" customWidth="1"/>
    <col min="13772" max="13772" width="59.5703125" style="81" customWidth="1"/>
    <col min="13773" max="13773" width="9.140625" style="81" customWidth="1"/>
    <col min="13774" max="13775" width="3.85546875" style="81" customWidth="1"/>
    <col min="13776" max="13776" width="10.5703125" style="81" customWidth="1"/>
    <col min="13777" max="13777" width="3.85546875" style="81" customWidth="1"/>
    <col min="13778" max="13780" width="14.42578125" style="81" customWidth="1"/>
    <col min="13781" max="13781" width="4.140625" style="81" customWidth="1"/>
    <col min="13782" max="13782" width="15" style="81" customWidth="1"/>
    <col min="13783" max="13784" width="9.140625" style="81" customWidth="1"/>
    <col min="13785" max="13785" width="11.5703125" style="81" customWidth="1"/>
    <col min="13786" max="13786" width="18.140625" style="81" customWidth="1"/>
    <col min="13787" max="13787" width="13.140625" style="81" customWidth="1"/>
    <col min="13788" max="13788" width="12.28515625" style="81" customWidth="1"/>
    <col min="13789" max="14026" width="9.140625" style="81"/>
    <col min="14027" max="14027" width="1.42578125" style="81" customWidth="1"/>
    <col min="14028" max="14028" width="59.5703125" style="81" customWidth="1"/>
    <col min="14029" max="14029" width="9.140625" style="81" customWidth="1"/>
    <col min="14030" max="14031" width="3.85546875" style="81" customWidth="1"/>
    <col min="14032" max="14032" width="10.5703125" style="81" customWidth="1"/>
    <col min="14033" max="14033" width="3.85546875" style="81" customWidth="1"/>
    <col min="14034" max="14036" width="14.42578125" style="81" customWidth="1"/>
    <col min="14037" max="14037" width="4.140625" style="81" customWidth="1"/>
    <col min="14038" max="14038" width="15" style="81" customWidth="1"/>
    <col min="14039" max="14040" width="9.140625" style="81" customWidth="1"/>
    <col min="14041" max="14041" width="11.5703125" style="81" customWidth="1"/>
    <col min="14042" max="14042" width="18.140625" style="81" customWidth="1"/>
    <col min="14043" max="14043" width="13.140625" style="81" customWidth="1"/>
    <col min="14044" max="14044" width="12.28515625" style="81" customWidth="1"/>
    <col min="14045" max="14282" width="9.140625" style="81"/>
    <col min="14283" max="14283" width="1.42578125" style="81" customWidth="1"/>
    <col min="14284" max="14284" width="59.5703125" style="81" customWidth="1"/>
    <col min="14285" max="14285" width="9.140625" style="81" customWidth="1"/>
    <col min="14286" max="14287" width="3.85546875" style="81" customWidth="1"/>
    <col min="14288" max="14288" width="10.5703125" style="81" customWidth="1"/>
    <col min="14289" max="14289" width="3.85546875" style="81" customWidth="1"/>
    <col min="14290" max="14292" width="14.42578125" style="81" customWidth="1"/>
    <col min="14293" max="14293" width="4.140625" style="81" customWidth="1"/>
    <col min="14294" max="14294" width="15" style="81" customWidth="1"/>
    <col min="14295" max="14296" width="9.140625" style="81" customWidth="1"/>
    <col min="14297" max="14297" width="11.5703125" style="81" customWidth="1"/>
    <col min="14298" max="14298" width="18.140625" style="81" customWidth="1"/>
    <col min="14299" max="14299" width="13.140625" style="81" customWidth="1"/>
    <col min="14300" max="14300" width="12.28515625" style="81" customWidth="1"/>
    <col min="14301" max="14538" width="9.140625" style="81"/>
    <col min="14539" max="14539" width="1.42578125" style="81" customWidth="1"/>
    <col min="14540" max="14540" width="59.5703125" style="81" customWidth="1"/>
    <col min="14541" max="14541" width="9.140625" style="81" customWidth="1"/>
    <col min="14542" max="14543" width="3.85546875" style="81" customWidth="1"/>
    <col min="14544" max="14544" width="10.5703125" style="81" customWidth="1"/>
    <col min="14545" max="14545" width="3.85546875" style="81" customWidth="1"/>
    <col min="14546" max="14548" width="14.42578125" style="81" customWidth="1"/>
    <col min="14549" max="14549" width="4.140625" style="81" customWidth="1"/>
    <col min="14550" max="14550" width="15" style="81" customWidth="1"/>
    <col min="14551" max="14552" width="9.140625" style="81" customWidth="1"/>
    <col min="14553" max="14553" width="11.5703125" style="81" customWidth="1"/>
    <col min="14554" max="14554" width="18.140625" style="81" customWidth="1"/>
    <col min="14555" max="14555" width="13.140625" style="81" customWidth="1"/>
    <col min="14556" max="14556" width="12.28515625" style="81" customWidth="1"/>
    <col min="14557" max="14794" width="9.140625" style="81"/>
    <col min="14795" max="14795" width="1.42578125" style="81" customWidth="1"/>
    <col min="14796" max="14796" width="59.5703125" style="81" customWidth="1"/>
    <col min="14797" max="14797" width="9.140625" style="81" customWidth="1"/>
    <col min="14798" max="14799" width="3.85546875" style="81" customWidth="1"/>
    <col min="14800" max="14800" width="10.5703125" style="81" customWidth="1"/>
    <col min="14801" max="14801" width="3.85546875" style="81" customWidth="1"/>
    <col min="14802" max="14804" width="14.42578125" style="81" customWidth="1"/>
    <col min="14805" max="14805" width="4.140625" style="81" customWidth="1"/>
    <col min="14806" max="14806" width="15" style="81" customWidth="1"/>
    <col min="14807" max="14808" width="9.140625" style="81" customWidth="1"/>
    <col min="14809" max="14809" width="11.5703125" style="81" customWidth="1"/>
    <col min="14810" max="14810" width="18.140625" style="81" customWidth="1"/>
    <col min="14811" max="14811" width="13.140625" style="81" customWidth="1"/>
    <col min="14812" max="14812" width="12.28515625" style="81" customWidth="1"/>
    <col min="14813" max="15050" width="9.140625" style="81"/>
    <col min="15051" max="15051" width="1.42578125" style="81" customWidth="1"/>
    <col min="15052" max="15052" width="59.5703125" style="81" customWidth="1"/>
    <col min="15053" max="15053" width="9.140625" style="81" customWidth="1"/>
    <col min="15054" max="15055" width="3.85546875" style="81" customWidth="1"/>
    <col min="15056" max="15056" width="10.5703125" style="81" customWidth="1"/>
    <col min="15057" max="15057" width="3.85546875" style="81" customWidth="1"/>
    <col min="15058" max="15060" width="14.42578125" style="81" customWidth="1"/>
    <col min="15061" max="15061" width="4.140625" style="81" customWidth="1"/>
    <col min="15062" max="15062" width="15" style="81" customWidth="1"/>
    <col min="15063" max="15064" width="9.140625" style="81" customWidth="1"/>
    <col min="15065" max="15065" width="11.5703125" style="81" customWidth="1"/>
    <col min="15066" max="15066" width="18.140625" style="81" customWidth="1"/>
    <col min="15067" max="15067" width="13.140625" style="81" customWidth="1"/>
    <col min="15068" max="15068" width="12.28515625" style="81" customWidth="1"/>
    <col min="15069" max="15306" width="9.140625" style="81"/>
    <col min="15307" max="15307" width="1.42578125" style="81" customWidth="1"/>
    <col min="15308" max="15308" width="59.5703125" style="81" customWidth="1"/>
    <col min="15309" max="15309" width="9.140625" style="81" customWidth="1"/>
    <col min="15310" max="15311" width="3.85546875" style="81" customWidth="1"/>
    <col min="15312" max="15312" width="10.5703125" style="81" customWidth="1"/>
    <col min="15313" max="15313" width="3.85546875" style="81" customWidth="1"/>
    <col min="15314" max="15316" width="14.42578125" style="81" customWidth="1"/>
    <col min="15317" max="15317" width="4.140625" style="81" customWidth="1"/>
    <col min="15318" max="15318" width="15" style="81" customWidth="1"/>
    <col min="15319" max="15320" width="9.140625" style="81" customWidth="1"/>
    <col min="15321" max="15321" width="11.5703125" style="81" customWidth="1"/>
    <col min="15322" max="15322" width="18.140625" style="81" customWidth="1"/>
    <col min="15323" max="15323" width="13.140625" style="81" customWidth="1"/>
    <col min="15324" max="15324" width="12.28515625" style="81" customWidth="1"/>
    <col min="15325" max="15562" width="9.140625" style="81"/>
    <col min="15563" max="15563" width="1.42578125" style="81" customWidth="1"/>
    <col min="15564" max="15564" width="59.5703125" style="81" customWidth="1"/>
    <col min="15565" max="15565" width="9.140625" style="81" customWidth="1"/>
    <col min="15566" max="15567" width="3.85546875" style="81" customWidth="1"/>
    <col min="15568" max="15568" width="10.5703125" style="81" customWidth="1"/>
    <col min="15569" max="15569" width="3.85546875" style="81" customWidth="1"/>
    <col min="15570" max="15572" width="14.42578125" style="81" customWidth="1"/>
    <col min="15573" max="15573" width="4.140625" style="81" customWidth="1"/>
    <col min="15574" max="15574" width="15" style="81" customWidth="1"/>
    <col min="15575" max="15576" width="9.140625" style="81" customWidth="1"/>
    <col min="15577" max="15577" width="11.5703125" style="81" customWidth="1"/>
    <col min="15578" max="15578" width="18.140625" style="81" customWidth="1"/>
    <col min="15579" max="15579" width="13.140625" style="81" customWidth="1"/>
    <col min="15580" max="15580" width="12.28515625" style="81" customWidth="1"/>
    <col min="15581" max="15818" width="9.140625" style="81"/>
    <col min="15819" max="15819" width="1.42578125" style="81" customWidth="1"/>
    <col min="15820" max="15820" width="59.5703125" style="81" customWidth="1"/>
    <col min="15821" max="15821" width="9.140625" style="81" customWidth="1"/>
    <col min="15822" max="15823" width="3.85546875" style="81" customWidth="1"/>
    <col min="15824" max="15824" width="10.5703125" style="81" customWidth="1"/>
    <col min="15825" max="15825" width="3.85546875" style="81" customWidth="1"/>
    <col min="15826" max="15828" width="14.42578125" style="81" customWidth="1"/>
    <col min="15829" max="15829" width="4.140625" style="81" customWidth="1"/>
    <col min="15830" max="15830" width="15" style="81" customWidth="1"/>
    <col min="15831" max="15832" width="9.140625" style="81" customWidth="1"/>
    <col min="15833" max="15833" width="11.5703125" style="81" customWidth="1"/>
    <col min="15834" max="15834" width="18.140625" style="81" customWidth="1"/>
    <col min="15835" max="15835" width="13.140625" style="81" customWidth="1"/>
    <col min="15836" max="15836" width="12.28515625" style="81" customWidth="1"/>
    <col min="15837" max="16074" width="9.140625" style="81"/>
    <col min="16075" max="16075" width="1.42578125" style="81" customWidth="1"/>
    <col min="16076" max="16076" width="59.5703125" style="81" customWidth="1"/>
    <col min="16077" max="16077" width="9.140625" style="81" customWidth="1"/>
    <col min="16078" max="16079" width="3.85546875" style="81" customWidth="1"/>
    <col min="16080" max="16080" width="10.5703125" style="81" customWidth="1"/>
    <col min="16081" max="16081" width="3.85546875" style="81" customWidth="1"/>
    <col min="16082" max="16084" width="14.42578125" style="81" customWidth="1"/>
    <col min="16085" max="16085" width="4.140625" style="81" customWidth="1"/>
    <col min="16086" max="16086" width="15" style="81" customWidth="1"/>
    <col min="16087" max="16088" width="9.140625" style="81" customWidth="1"/>
    <col min="16089" max="16089" width="11.5703125" style="81" customWidth="1"/>
    <col min="16090" max="16090" width="18.140625" style="81" customWidth="1"/>
    <col min="16091" max="16091" width="13.140625" style="81" customWidth="1"/>
    <col min="16092" max="16092" width="12.28515625" style="81" customWidth="1"/>
    <col min="16093" max="16384" width="9.140625" style="81"/>
  </cols>
  <sheetData>
    <row r="1" spans="1:14" ht="13.5" customHeight="1" x14ac:dyDescent="0.25">
      <c r="B1" s="136"/>
      <c r="C1" s="136"/>
      <c r="D1" s="136"/>
      <c r="F1" s="270"/>
      <c r="G1" s="271"/>
      <c r="H1" s="272"/>
      <c r="I1" s="273"/>
      <c r="J1" s="270" t="s">
        <v>550</v>
      </c>
      <c r="K1" s="136"/>
      <c r="L1" s="136"/>
      <c r="M1" s="136"/>
      <c r="N1" s="136"/>
    </row>
    <row r="2" spans="1:14" ht="37.5" customHeight="1" x14ac:dyDescent="0.25">
      <c r="A2" s="6"/>
      <c r="B2" s="113"/>
      <c r="C2" s="113"/>
      <c r="D2" s="113"/>
      <c r="F2" s="281"/>
      <c r="G2" s="281"/>
      <c r="H2" s="281"/>
      <c r="I2" s="281"/>
      <c r="J2" s="549" t="s">
        <v>695</v>
      </c>
      <c r="K2" s="549"/>
      <c r="L2" s="549"/>
    </row>
    <row r="3" spans="1:14" ht="43.5" customHeight="1" x14ac:dyDescent="0.25">
      <c r="A3" s="6"/>
      <c r="B3" s="548" t="s">
        <v>696</v>
      </c>
      <c r="C3" s="548"/>
      <c r="D3" s="548"/>
      <c r="E3" s="548"/>
      <c r="F3" s="548"/>
      <c r="G3" s="548"/>
      <c r="H3" s="548"/>
      <c r="I3" s="548"/>
      <c r="J3" s="548"/>
      <c r="K3" s="548"/>
      <c r="L3" s="548"/>
    </row>
    <row r="4" spans="1:14" s="6" customFormat="1" ht="11.25" customHeight="1" x14ac:dyDescent="0.25">
      <c r="A4" s="4"/>
      <c r="B4" s="4"/>
      <c r="C4" s="4"/>
      <c r="D4" s="4"/>
      <c r="E4" s="265"/>
      <c r="F4" s="265"/>
      <c r="G4" s="265"/>
      <c r="H4" s="4"/>
      <c r="I4" s="4"/>
    </row>
    <row r="5" spans="1:14" s="6" customFormat="1" ht="22.5" customHeight="1" x14ac:dyDescent="0.25">
      <c r="A5" s="570" t="s">
        <v>11</v>
      </c>
      <c r="B5" s="571"/>
      <c r="C5" s="260"/>
      <c r="D5" s="260"/>
      <c r="E5" s="260"/>
      <c r="F5" s="114" t="s">
        <v>12</v>
      </c>
      <c r="G5" s="123" t="s">
        <v>13</v>
      </c>
      <c r="H5" s="114" t="s">
        <v>14</v>
      </c>
      <c r="I5" s="114" t="s">
        <v>15</v>
      </c>
      <c r="J5" s="260" t="s">
        <v>622</v>
      </c>
      <c r="K5" s="430" t="s">
        <v>810</v>
      </c>
      <c r="L5" s="430" t="s">
        <v>761</v>
      </c>
      <c r="M5" s="430" t="s">
        <v>811</v>
      </c>
      <c r="N5" s="430" t="s">
        <v>812</v>
      </c>
    </row>
    <row r="6" spans="1:14" s="11" customFormat="1" ht="12" customHeight="1" x14ac:dyDescent="0.25">
      <c r="A6" s="554" t="s">
        <v>17</v>
      </c>
      <c r="B6" s="555"/>
      <c r="C6" s="258"/>
      <c r="D6" s="258"/>
      <c r="E6" s="262">
        <v>851</v>
      </c>
      <c r="F6" s="7" t="s">
        <v>18</v>
      </c>
      <c r="G6" s="124"/>
      <c r="H6" s="7"/>
      <c r="I6" s="7"/>
      <c r="J6" s="9">
        <f>J7+J11+J19+J35+J39+J56+J60</f>
        <v>29433200</v>
      </c>
      <c r="K6" s="9">
        <f>K7+K11+K19+K35+K39+K56+K60</f>
        <v>803088</v>
      </c>
      <c r="L6" s="9">
        <f>L7+L11+L19+L35+L39+L56+L60</f>
        <v>30236288</v>
      </c>
      <c r="M6" s="9">
        <f>M7+M11+M19+M35+M39+M56+M60</f>
        <v>-23856</v>
      </c>
      <c r="N6" s="9">
        <f>N7+N11+N19+N35+N39+N56+N60</f>
        <v>30212432</v>
      </c>
    </row>
    <row r="7" spans="1:14" s="11" customFormat="1" ht="35.25" customHeight="1" x14ac:dyDescent="0.25">
      <c r="A7" s="572" t="s">
        <v>581</v>
      </c>
      <c r="B7" s="573"/>
      <c r="C7" s="258"/>
      <c r="D7" s="258"/>
      <c r="E7" s="262">
        <v>854</v>
      </c>
      <c r="F7" s="12" t="s">
        <v>18</v>
      </c>
      <c r="G7" s="12" t="s">
        <v>74</v>
      </c>
      <c r="H7" s="12"/>
      <c r="I7" s="12"/>
      <c r="J7" s="14">
        <f t="shared" ref="J7:N9" si="0">J8</f>
        <v>789500</v>
      </c>
      <c r="K7" s="14">
        <f t="shared" si="0"/>
        <v>0</v>
      </c>
      <c r="L7" s="14">
        <f t="shared" si="0"/>
        <v>789500</v>
      </c>
      <c r="M7" s="14">
        <f t="shared" si="0"/>
        <v>0</v>
      </c>
      <c r="N7" s="14">
        <f t="shared" si="0"/>
        <v>789500</v>
      </c>
    </row>
    <row r="8" spans="1:14" s="11" customFormat="1" ht="12" customHeight="1" x14ac:dyDescent="0.25">
      <c r="A8" s="552" t="s">
        <v>582</v>
      </c>
      <c r="B8" s="553"/>
      <c r="C8" s="247"/>
      <c r="D8" s="247"/>
      <c r="E8" s="262">
        <v>854</v>
      </c>
      <c r="F8" s="1" t="s">
        <v>23</v>
      </c>
      <c r="G8" s="1" t="s">
        <v>74</v>
      </c>
      <c r="H8" s="1" t="s">
        <v>583</v>
      </c>
      <c r="I8" s="1"/>
      <c r="J8" s="2">
        <f t="shared" si="0"/>
        <v>789500</v>
      </c>
      <c r="K8" s="2">
        <f t="shared" si="0"/>
        <v>0</v>
      </c>
      <c r="L8" s="2">
        <f t="shared" si="0"/>
        <v>789500</v>
      </c>
      <c r="M8" s="2">
        <f t="shared" si="0"/>
        <v>0</v>
      </c>
      <c r="N8" s="2">
        <f t="shared" si="0"/>
        <v>789500</v>
      </c>
    </row>
    <row r="9" spans="1:14" s="11" customFormat="1" ht="60.75" customHeight="1" x14ac:dyDescent="0.25">
      <c r="A9" s="258"/>
      <c r="B9" s="246" t="s">
        <v>22</v>
      </c>
      <c r="C9" s="258"/>
      <c r="D9" s="258"/>
      <c r="E9" s="262">
        <v>854</v>
      </c>
      <c r="F9" s="1" t="s">
        <v>18</v>
      </c>
      <c r="G9" s="1" t="s">
        <v>74</v>
      </c>
      <c r="H9" s="1" t="s">
        <v>583</v>
      </c>
      <c r="I9" s="1" t="s">
        <v>24</v>
      </c>
      <c r="J9" s="2">
        <f t="shared" si="0"/>
        <v>789500</v>
      </c>
      <c r="K9" s="2">
        <f t="shared" si="0"/>
        <v>0</v>
      </c>
      <c r="L9" s="2">
        <f t="shared" si="0"/>
        <v>789500</v>
      </c>
      <c r="M9" s="2">
        <f t="shared" si="0"/>
        <v>0</v>
      </c>
      <c r="N9" s="2">
        <f t="shared" si="0"/>
        <v>789500</v>
      </c>
    </row>
    <row r="10" spans="1:14" s="11" customFormat="1" ht="27" customHeight="1" x14ac:dyDescent="0.25">
      <c r="A10" s="258"/>
      <c r="B10" s="246" t="s">
        <v>25</v>
      </c>
      <c r="C10" s="258"/>
      <c r="D10" s="258"/>
      <c r="E10" s="262">
        <v>854</v>
      </c>
      <c r="F10" s="1" t="s">
        <v>18</v>
      </c>
      <c r="G10" s="1" t="s">
        <v>74</v>
      </c>
      <c r="H10" s="1" t="s">
        <v>583</v>
      </c>
      <c r="I10" s="1" t="s">
        <v>26</v>
      </c>
      <c r="J10" s="2">
        <f>'6 Вед15'!J334</f>
        <v>789500</v>
      </c>
      <c r="K10" s="2">
        <f>'6 Вед15'!K334</f>
        <v>0</v>
      </c>
      <c r="L10" s="80">
        <f t="shared" ref="L10:L73" si="1">J10+K10</f>
        <v>789500</v>
      </c>
      <c r="M10" s="2">
        <f>'6 Вед15'!M334</f>
        <v>0</v>
      </c>
      <c r="N10" s="80">
        <f t="shared" ref="N10:N73" si="2">L10+M10</f>
        <v>789500</v>
      </c>
    </row>
    <row r="11" spans="1:14" s="15" customFormat="1" ht="49.5" customHeight="1" x14ac:dyDescent="0.25">
      <c r="A11" s="550" t="s">
        <v>177</v>
      </c>
      <c r="B11" s="551"/>
      <c r="C11" s="251"/>
      <c r="D11" s="251"/>
      <c r="E11" s="262">
        <v>854</v>
      </c>
      <c r="F11" s="12" t="s">
        <v>18</v>
      </c>
      <c r="G11" s="125" t="s">
        <v>4</v>
      </c>
      <c r="H11" s="12"/>
      <c r="I11" s="12"/>
      <c r="J11" s="14">
        <f t="shared" ref="J11:M11" si="3">J12</f>
        <v>627420</v>
      </c>
      <c r="K11" s="14">
        <f t="shared" si="3"/>
        <v>0</v>
      </c>
      <c r="L11" s="80">
        <f t="shared" si="1"/>
        <v>627420</v>
      </c>
      <c r="M11" s="14">
        <f t="shared" si="3"/>
        <v>0</v>
      </c>
      <c r="N11" s="80">
        <f t="shared" si="2"/>
        <v>627420</v>
      </c>
    </row>
    <row r="12" spans="1:14" s="6" customFormat="1" ht="24" customHeight="1" x14ac:dyDescent="0.25">
      <c r="A12" s="552" t="s">
        <v>27</v>
      </c>
      <c r="B12" s="553"/>
      <c r="C12" s="262"/>
      <c r="D12" s="262"/>
      <c r="E12" s="262">
        <v>854</v>
      </c>
      <c r="F12" s="1" t="s">
        <v>23</v>
      </c>
      <c r="G12" s="126" t="s">
        <v>4</v>
      </c>
      <c r="H12" s="1" t="s">
        <v>559</v>
      </c>
      <c r="I12" s="1"/>
      <c r="J12" s="2">
        <f t="shared" ref="J12:K12" si="4">J13+J15+J17</f>
        <v>627420</v>
      </c>
      <c r="K12" s="2">
        <f t="shared" si="4"/>
        <v>0</v>
      </c>
      <c r="L12" s="80">
        <f t="shared" si="1"/>
        <v>627420</v>
      </c>
      <c r="M12" s="2">
        <f t="shared" ref="M12" si="5">M13+M15+M17</f>
        <v>0</v>
      </c>
      <c r="N12" s="80">
        <f t="shared" si="2"/>
        <v>627420</v>
      </c>
    </row>
    <row r="13" spans="1:14" s="6" customFormat="1" ht="51" customHeight="1" x14ac:dyDescent="0.25">
      <c r="A13" s="17"/>
      <c r="B13" s="246" t="s">
        <v>22</v>
      </c>
      <c r="C13" s="262"/>
      <c r="D13" s="262"/>
      <c r="E13" s="262">
        <v>854</v>
      </c>
      <c r="F13" s="1" t="s">
        <v>18</v>
      </c>
      <c r="G13" s="126" t="s">
        <v>4</v>
      </c>
      <c r="H13" s="1" t="s">
        <v>559</v>
      </c>
      <c r="I13" s="1" t="s">
        <v>24</v>
      </c>
      <c r="J13" s="2">
        <f t="shared" ref="J13:M13" si="6">J14</f>
        <v>418200</v>
      </c>
      <c r="K13" s="2">
        <f t="shared" si="6"/>
        <v>0</v>
      </c>
      <c r="L13" s="80">
        <f t="shared" si="1"/>
        <v>418200</v>
      </c>
      <c r="M13" s="2">
        <f t="shared" si="6"/>
        <v>0</v>
      </c>
      <c r="N13" s="80">
        <f t="shared" si="2"/>
        <v>418200</v>
      </c>
    </row>
    <row r="14" spans="1:14" s="6" customFormat="1" ht="25.5" customHeight="1" x14ac:dyDescent="0.25">
      <c r="A14" s="17"/>
      <c r="B14" s="246" t="s">
        <v>25</v>
      </c>
      <c r="C14" s="262"/>
      <c r="D14" s="262"/>
      <c r="E14" s="262">
        <v>854</v>
      </c>
      <c r="F14" s="1" t="s">
        <v>18</v>
      </c>
      <c r="G14" s="126" t="s">
        <v>4</v>
      </c>
      <c r="H14" s="1" t="s">
        <v>559</v>
      </c>
      <c r="I14" s="1" t="s">
        <v>26</v>
      </c>
      <c r="J14" s="2">
        <f>'6 Вед15'!J338</f>
        <v>418200</v>
      </c>
      <c r="K14" s="2">
        <f>'6 Вед15'!K338</f>
        <v>0</v>
      </c>
      <c r="L14" s="80">
        <f t="shared" si="1"/>
        <v>418200</v>
      </c>
      <c r="M14" s="2">
        <f>'6 Вед15'!M338</f>
        <v>0</v>
      </c>
      <c r="N14" s="80">
        <f t="shared" si="2"/>
        <v>418200</v>
      </c>
    </row>
    <row r="15" spans="1:14" s="6" customFormat="1" ht="25.5" customHeight="1" x14ac:dyDescent="0.25">
      <c r="A15" s="17"/>
      <c r="B15" s="254" t="s">
        <v>28</v>
      </c>
      <c r="C15" s="262"/>
      <c r="D15" s="262"/>
      <c r="E15" s="262">
        <v>854</v>
      </c>
      <c r="F15" s="1" t="s">
        <v>18</v>
      </c>
      <c r="G15" s="126" t="s">
        <v>4</v>
      </c>
      <c r="H15" s="1" t="s">
        <v>559</v>
      </c>
      <c r="I15" s="1" t="s">
        <v>29</v>
      </c>
      <c r="J15" s="2">
        <f t="shared" ref="J15:M15" si="7">J16</f>
        <v>208700</v>
      </c>
      <c r="K15" s="2">
        <f t="shared" si="7"/>
        <v>0</v>
      </c>
      <c r="L15" s="80">
        <f t="shared" si="1"/>
        <v>208700</v>
      </c>
      <c r="M15" s="2">
        <f t="shared" si="7"/>
        <v>0</v>
      </c>
      <c r="N15" s="80">
        <f t="shared" si="2"/>
        <v>208700</v>
      </c>
    </row>
    <row r="16" spans="1:14" s="6" customFormat="1" ht="25.5" customHeight="1" x14ac:dyDescent="0.25">
      <c r="A16" s="17"/>
      <c r="B16" s="254" t="s">
        <v>30</v>
      </c>
      <c r="C16" s="262"/>
      <c r="D16" s="262"/>
      <c r="E16" s="262">
        <v>854</v>
      </c>
      <c r="F16" s="1" t="s">
        <v>18</v>
      </c>
      <c r="G16" s="126" t="s">
        <v>4</v>
      </c>
      <c r="H16" s="1" t="s">
        <v>559</v>
      </c>
      <c r="I16" s="1" t="s">
        <v>31</v>
      </c>
      <c r="J16" s="2">
        <f>'6 Вед15'!J340</f>
        <v>208700</v>
      </c>
      <c r="K16" s="2">
        <f>'6 Вед15'!K340</f>
        <v>0</v>
      </c>
      <c r="L16" s="80">
        <f t="shared" si="1"/>
        <v>208700</v>
      </c>
      <c r="M16" s="2">
        <f>'6 Вед15'!M340</f>
        <v>0</v>
      </c>
      <c r="N16" s="80">
        <f t="shared" si="2"/>
        <v>208700</v>
      </c>
    </row>
    <row r="17" spans="1:14" s="6" customFormat="1" ht="14.25" customHeight="1" x14ac:dyDescent="0.25">
      <c r="A17" s="17"/>
      <c r="B17" s="254" t="s">
        <v>32</v>
      </c>
      <c r="C17" s="262"/>
      <c r="D17" s="262"/>
      <c r="E17" s="262">
        <v>854</v>
      </c>
      <c r="F17" s="1" t="s">
        <v>18</v>
      </c>
      <c r="G17" s="126" t="s">
        <v>4</v>
      </c>
      <c r="H17" s="1" t="s">
        <v>559</v>
      </c>
      <c r="I17" s="1" t="s">
        <v>33</v>
      </c>
      <c r="J17" s="2">
        <f>J18</f>
        <v>520</v>
      </c>
      <c r="K17" s="2">
        <f t="shared" ref="K17:M17" si="8">K18</f>
        <v>0</v>
      </c>
      <c r="L17" s="80">
        <f t="shared" si="1"/>
        <v>520</v>
      </c>
      <c r="M17" s="2">
        <f t="shared" si="8"/>
        <v>0</v>
      </c>
      <c r="N17" s="80">
        <f t="shared" si="2"/>
        <v>520</v>
      </c>
    </row>
    <row r="18" spans="1:14" s="6" customFormat="1" ht="14.25" customHeight="1" x14ac:dyDescent="0.25">
      <c r="A18" s="17"/>
      <c r="B18" s="246" t="s">
        <v>596</v>
      </c>
      <c r="C18" s="247"/>
      <c r="D18" s="247"/>
      <c r="E18" s="262">
        <v>854</v>
      </c>
      <c r="F18" s="1" t="s">
        <v>18</v>
      </c>
      <c r="G18" s="126" t="s">
        <v>4</v>
      </c>
      <c r="H18" s="1" t="s">
        <v>559</v>
      </c>
      <c r="I18" s="1" t="s">
        <v>36</v>
      </c>
      <c r="J18" s="2">
        <f>'6 Вед15'!J342</f>
        <v>520</v>
      </c>
      <c r="K18" s="2">
        <f>'6 Вед15'!K342</f>
        <v>0</v>
      </c>
      <c r="L18" s="80">
        <f t="shared" si="1"/>
        <v>520</v>
      </c>
      <c r="M18" s="2">
        <f>'6 Вед15'!M342</f>
        <v>0</v>
      </c>
      <c r="N18" s="80">
        <f t="shared" si="2"/>
        <v>520</v>
      </c>
    </row>
    <row r="19" spans="1:14" s="15" customFormat="1" ht="48.75" customHeight="1" x14ac:dyDescent="0.25">
      <c r="A19" s="550" t="s">
        <v>19</v>
      </c>
      <c r="B19" s="551"/>
      <c r="C19" s="251"/>
      <c r="D19" s="251"/>
      <c r="E19" s="262">
        <v>851</v>
      </c>
      <c r="F19" s="12" t="s">
        <v>18</v>
      </c>
      <c r="G19" s="125" t="s">
        <v>7</v>
      </c>
      <c r="H19" s="13"/>
      <c r="I19" s="12"/>
      <c r="J19" s="14">
        <f>J20+J24+J26+J28+J32</f>
        <v>17336380</v>
      </c>
      <c r="K19" s="14">
        <f>K20+K24+K26+K28+K32</f>
        <v>0</v>
      </c>
      <c r="L19" s="80">
        <f t="shared" si="1"/>
        <v>17336380</v>
      </c>
      <c r="M19" s="14">
        <f>M20+M24+M26+M28+M32</f>
        <v>0</v>
      </c>
      <c r="N19" s="80">
        <f t="shared" si="2"/>
        <v>17336380</v>
      </c>
    </row>
    <row r="20" spans="1:14" s="6" customFormat="1" ht="36.75" customHeight="1" x14ac:dyDescent="0.25">
      <c r="A20" s="552" t="s">
        <v>20</v>
      </c>
      <c r="B20" s="553"/>
      <c r="C20" s="247"/>
      <c r="D20" s="247"/>
      <c r="E20" s="262">
        <v>851</v>
      </c>
      <c r="F20" s="1" t="s">
        <v>18</v>
      </c>
      <c r="G20" s="126" t="s">
        <v>7</v>
      </c>
      <c r="H20" s="1" t="s">
        <v>21</v>
      </c>
      <c r="I20" s="1"/>
      <c r="J20" s="2">
        <f t="shared" ref="J20:M21" si="9">J21</f>
        <v>946200</v>
      </c>
      <c r="K20" s="2">
        <f t="shared" si="9"/>
        <v>0</v>
      </c>
      <c r="L20" s="80">
        <f t="shared" si="1"/>
        <v>946200</v>
      </c>
      <c r="M20" s="2">
        <f t="shared" si="9"/>
        <v>0</v>
      </c>
      <c r="N20" s="80">
        <f t="shared" si="2"/>
        <v>946200</v>
      </c>
    </row>
    <row r="21" spans="1:14" s="6" customFormat="1" ht="48.75" customHeight="1" x14ac:dyDescent="0.25">
      <c r="A21" s="247"/>
      <c r="B21" s="246" t="s">
        <v>22</v>
      </c>
      <c r="C21" s="247"/>
      <c r="D21" s="247"/>
      <c r="E21" s="262">
        <v>851</v>
      </c>
      <c r="F21" s="1" t="s">
        <v>23</v>
      </c>
      <c r="G21" s="126" t="s">
        <v>7</v>
      </c>
      <c r="H21" s="1" t="s">
        <v>21</v>
      </c>
      <c r="I21" s="1" t="s">
        <v>24</v>
      </c>
      <c r="J21" s="2">
        <f t="shared" si="9"/>
        <v>946200</v>
      </c>
      <c r="K21" s="2">
        <f t="shared" si="9"/>
        <v>0</v>
      </c>
      <c r="L21" s="80">
        <f t="shared" si="1"/>
        <v>946200</v>
      </c>
      <c r="M21" s="2">
        <f t="shared" si="9"/>
        <v>0</v>
      </c>
      <c r="N21" s="80">
        <f t="shared" si="2"/>
        <v>946200</v>
      </c>
    </row>
    <row r="22" spans="1:14" s="6" customFormat="1" ht="26.25" customHeight="1" x14ac:dyDescent="0.25">
      <c r="A22" s="17"/>
      <c r="B22" s="246" t="s">
        <v>25</v>
      </c>
      <c r="C22" s="246"/>
      <c r="D22" s="246"/>
      <c r="E22" s="262">
        <v>851</v>
      </c>
      <c r="F22" s="1" t="s">
        <v>18</v>
      </c>
      <c r="G22" s="126" t="s">
        <v>7</v>
      </c>
      <c r="H22" s="1" t="s">
        <v>21</v>
      </c>
      <c r="I22" s="1" t="s">
        <v>26</v>
      </c>
      <c r="J22" s="2">
        <f>'6 Вед15'!J13</f>
        <v>946200</v>
      </c>
      <c r="K22" s="2">
        <f>'6 Вед15'!K13</f>
        <v>0</v>
      </c>
      <c r="L22" s="80">
        <f t="shared" si="1"/>
        <v>946200</v>
      </c>
      <c r="M22" s="2">
        <f>'6 Вед15'!M13</f>
        <v>0</v>
      </c>
      <c r="N22" s="80">
        <f t="shared" si="2"/>
        <v>946200</v>
      </c>
    </row>
    <row r="23" spans="1:14" s="6" customFormat="1" ht="27.75" customHeight="1" x14ac:dyDescent="0.25">
      <c r="A23" s="552" t="s">
        <v>27</v>
      </c>
      <c r="B23" s="553"/>
      <c r="C23" s="262"/>
      <c r="D23" s="262"/>
      <c r="E23" s="262">
        <v>851</v>
      </c>
      <c r="F23" s="1" t="s">
        <v>23</v>
      </c>
      <c r="G23" s="126" t="s">
        <v>7</v>
      </c>
      <c r="H23" s="1" t="s">
        <v>560</v>
      </c>
      <c r="I23" s="1"/>
      <c r="J23" s="2">
        <f t="shared" ref="J23:K23" si="10">J24+J26+J28</f>
        <v>16387680</v>
      </c>
      <c r="K23" s="2">
        <f t="shared" si="10"/>
        <v>0</v>
      </c>
      <c r="L23" s="80">
        <f t="shared" si="1"/>
        <v>16387680</v>
      </c>
      <c r="M23" s="2">
        <f t="shared" ref="M23" si="11">M24+M26+M28</f>
        <v>0</v>
      </c>
      <c r="N23" s="80">
        <f t="shared" si="2"/>
        <v>16387680</v>
      </c>
    </row>
    <row r="24" spans="1:14" s="6" customFormat="1" ht="48" customHeight="1" x14ac:dyDescent="0.25">
      <c r="A24" s="17"/>
      <c r="B24" s="246" t="s">
        <v>22</v>
      </c>
      <c r="C24" s="262"/>
      <c r="D24" s="262"/>
      <c r="E24" s="262">
        <v>851</v>
      </c>
      <c r="F24" s="1" t="s">
        <v>18</v>
      </c>
      <c r="G24" s="126" t="s">
        <v>7</v>
      </c>
      <c r="H24" s="1" t="s">
        <v>560</v>
      </c>
      <c r="I24" s="1" t="s">
        <v>24</v>
      </c>
      <c r="J24" s="2">
        <f t="shared" ref="J24:M24" si="12">J25</f>
        <v>11544100</v>
      </c>
      <c r="K24" s="2">
        <f t="shared" si="12"/>
        <v>0</v>
      </c>
      <c r="L24" s="80">
        <f t="shared" si="1"/>
        <v>11544100</v>
      </c>
      <c r="M24" s="2">
        <f t="shared" si="12"/>
        <v>0</v>
      </c>
      <c r="N24" s="80">
        <f t="shared" si="2"/>
        <v>11544100</v>
      </c>
    </row>
    <row r="25" spans="1:14" s="6" customFormat="1" ht="24.75" customHeight="1" x14ac:dyDescent="0.25">
      <c r="A25" s="17"/>
      <c r="B25" s="246" t="s">
        <v>25</v>
      </c>
      <c r="C25" s="262"/>
      <c r="D25" s="262"/>
      <c r="E25" s="262">
        <v>851</v>
      </c>
      <c r="F25" s="1" t="s">
        <v>18</v>
      </c>
      <c r="G25" s="126" t="s">
        <v>7</v>
      </c>
      <c r="H25" s="1" t="s">
        <v>560</v>
      </c>
      <c r="I25" s="1" t="s">
        <v>26</v>
      </c>
      <c r="J25" s="2">
        <f>'6 Вед15'!J16</f>
        <v>11544100</v>
      </c>
      <c r="K25" s="2">
        <f>'6 Вед15'!K16</f>
        <v>0</v>
      </c>
      <c r="L25" s="80">
        <f t="shared" si="1"/>
        <v>11544100</v>
      </c>
      <c r="M25" s="2">
        <f>'6 Вед15'!M16</f>
        <v>0</v>
      </c>
      <c r="N25" s="80">
        <f t="shared" si="2"/>
        <v>11544100</v>
      </c>
    </row>
    <row r="26" spans="1:14" s="6" customFormat="1" ht="24.75" customHeight="1" x14ac:dyDescent="0.25">
      <c r="A26" s="17"/>
      <c r="B26" s="254" t="s">
        <v>28</v>
      </c>
      <c r="C26" s="262"/>
      <c r="D26" s="262"/>
      <c r="E26" s="262">
        <v>851</v>
      </c>
      <c r="F26" s="1" t="s">
        <v>18</v>
      </c>
      <c r="G26" s="126" t="s">
        <v>7</v>
      </c>
      <c r="H26" s="1" t="s">
        <v>560</v>
      </c>
      <c r="I26" s="1" t="s">
        <v>29</v>
      </c>
      <c r="J26" s="2">
        <f>'6 Вед15'!J17</f>
        <v>3777580</v>
      </c>
      <c r="K26" s="2">
        <f>'6 Вед15'!K17</f>
        <v>0</v>
      </c>
      <c r="L26" s="80">
        <f t="shared" si="1"/>
        <v>3777580</v>
      </c>
      <c r="M26" s="2">
        <f>'6 Вед15'!M17</f>
        <v>0</v>
      </c>
      <c r="N26" s="80">
        <f t="shared" si="2"/>
        <v>3777580</v>
      </c>
    </row>
    <row r="27" spans="1:14" s="6" customFormat="1" ht="24.75" customHeight="1" x14ac:dyDescent="0.25">
      <c r="A27" s="17"/>
      <c r="B27" s="254" t="s">
        <v>30</v>
      </c>
      <c r="C27" s="262"/>
      <c r="D27" s="262"/>
      <c r="E27" s="262">
        <v>851</v>
      </c>
      <c r="F27" s="1" t="s">
        <v>18</v>
      </c>
      <c r="G27" s="126" t="s">
        <v>7</v>
      </c>
      <c r="H27" s="1" t="s">
        <v>560</v>
      </c>
      <c r="I27" s="1" t="s">
        <v>31</v>
      </c>
      <c r="J27" s="2">
        <f>'6 Вед15'!J18</f>
        <v>3777580</v>
      </c>
      <c r="K27" s="2">
        <f>'6 Вед15'!K18</f>
        <v>0</v>
      </c>
      <c r="L27" s="80">
        <f t="shared" si="1"/>
        <v>3777580</v>
      </c>
      <c r="M27" s="2">
        <f>'6 Вед15'!M18</f>
        <v>0</v>
      </c>
      <c r="N27" s="80">
        <f t="shared" si="2"/>
        <v>3777580</v>
      </c>
    </row>
    <row r="28" spans="1:14" s="6" customFormat="1" x14ac:dyDescent="0.25">
      <c r="A28" s="17"/>
      <c r="B28" s="254" t="s">
        <v>32</v>
      </c>
      <c r="C28" s="262"/>
      <c r="D28" s="262"/>
      <c r="E28" s="262">
        <v>851</v>
      </c>
      <c r="F28" s="1" t="s">
        <v>18</v>
      </c>
      <c r="G28" s="126" t="s">
        <v>7</v>
      </c>
      <c r="H28" s="1" t="s">
        <v>560</v>
      </c>
      <c r="I28" s="1" t="s">
        <v>33</v>
      </c>
      <c r="J28" s="2">
        <f>J29+J30+J31</f>
        <v>1066000</v>
      </c>
      <c r="K28" s="2">
        <f t="shared" ref="K28:M28" si="13">K29+K30+K31</f>
        <v>0</v>
      </c>
      <c r="L28" s="80">
        <f t="shared" si="1"/>
        <v>1066000</v>
      </c>
      <c r="M28" s="2">
        <f t="shared" si="13"/>
        <v>0</v>
      </c>
      <c r="N28" s="80">
        <f t="shared" si="2"/>
        <v>1066000</v>
      </c>
    </row>
    <row r="29" spans="1:14" s="6" customFormat="1" ht="24" x14ac:dyDescent="0.25">
      <c r="A29" s="17"/>
      <c r="B29" s="254" t="s">
        <v>34</v>
      </c>
      <c r="C29" s="262"/>
      <c r="D29" s="262"/>
      <c r="E29" s="262">
        <v>851</v>
      </c>
      <c r="F29" s="1" t="s">
        <v>18</v>
      </c>
      <c r="G29" s="126" t="s">
        <v>7</v>
      </c>
      <c r="H29" s="1" t="s">
        <v>560</v>
      </c>
      <c r="I29" s="1" t="s">
        <v>35</v>
      </c>
      <c r="J29" s="2">
        <f>'6 Вед15'!J20</f>
        <v>945200</v>
      </c>
      <c r="K29" s="2">
        <f>'6 Вед15'!K20</f>
        <v>0</v>
      </c>
      <c r="L29" s="80">
        <f t="shared" si="1"/>
        <v>945200</v>
      </c>
      <c r="M29" s="2">
        <f>'6 Вед15'!M20</f>
        <v>0</v>
      </c>
      <c r="N29" s="80">
        <f t="shared" si="2"/>
        <v>945200</v>
      </c>
    </row>
    <row r="30" spans="1:14" s="6" customFormat="1" x14ac:dyDescent="0.25">
      <c r="A30" s="17"/>
      <c r="B30" s="246" t="s">
        <v>596</v>
      </c>
      <c r="C30" s="262"/>
      <c r="D30" s="262"/>
      <c r="E30" s="262">
        <v>851</v>
      </c>
      <c r="F30" s="1" t="s">
        <v>23</v>
      </c>
      <c r="G30" s="126" t="s">
        <v>7</v>
      </c>
      <c r="H30" s="1" t="s">
        <v>560</v>
      </c>
      <c r="I30" s="1" t="s">
        <v>36</v>
      </c>
      <c r="J30" s="2">
        <f>'6 Вед15'!J21</f>
        <v>70800</v>
      </c>
      <c r="K30" s="2">
        <f>'6 Вед15'!K21</f>
        <v>0</v>
      </c>
      <c r="L30" s="80">
        <f t="shared" si="1"/>
        <v>70800</v>
      </c>
      <c r="M30" s="2">
        <f>'6 Вед15'!M21</f>
        <v>0</v>
      </c>
      <c r="N30" s="80">
        <f t="shared" si="2"/>
        <v>70800</v>
      </c>
    </row>
    <row r="31" spans="1:14" s="6" customFormat="1" x14ac:dyDescent="0.25">
      <c r="A31" s="17"/>
      <c r="B31" s="246" t="s">
        <v>595</v>
      </c>
      <c r="C31" s="262"/>
      <c r="D31" s="262"/>
      <c r="E31" s="262"/>
      <c r="F31" s="1" t="s">
        <v>23</v>
      </c>
      <c r="G31" s="126" t="s">
        <v>7</v>
      </c>
      <c r="H31" s="1" t="s">
        <v>560</v>
      </c>
      <c r="I31" s="1" t="s">
        <v>594</v>
      </c>
      <c r="J31" s="2">
        <f>'6 Вед15'!J22</f>
        <v>50000</v>
      </c>
      <c r="K31" s="2">
        <f>'6 Вед15'!K22</f>
        <v>0</v>
      </c>
      <c r="L31" s="80">
        <f t="shared" si="1"/>
        <v>50000</v>
      </c>
      <c r="M31" s="2">
        <f>'6 Вед15'!M22</f>
        <v>0</v>
      </c>
      <c r="N31" s="80">
        <f t="shared" si="2"/>
        <v>50000</v>
      </c>
    </row>
    <row r="32" spans="1:14" s="6" customFormat="1" ht="48.75" customHeight="1" x14ac:dyDescent="0.25">
      <c r="A32" s="552" t="s">
        <v>612</v>
      </c>
      <c r="B32" s="553"/>
      <c r="C32" s="247"/>
      <c r="D32" s="247"/>
      <c r="E32" s="262">
        <v>851</v>
      </c>
      <c r="F32" s="1" t="s">
        <v>18</v>
      </c>
      <c r="G32" s="126" t="s">
        <v>7</v>
      </c>
      <c r="H32" s="1" t="s">
        <v>615</v>
      </c>
      <c r="I32" s="1"/>
      <c r="J32" s="2">
        <f t="shared" ref="J32:M33" si="14">J33</f>
        <v>2500</v>
      </c>
      <c r="K32" s="2">
        <f t="shared" si="14"/>
        <v>0</v>
      </c>
      <c r="L32" s="80">
        <f t="shared" si="1"/>
        <v>2500</v>
      </c>
      <c r="M32" s="2">
        <f t="shared" si="14"/>
        <v>0</v>
      </c>
      <c r="N32" s="80">
        <f t="shared" si="2"/>
        <v>2500</v>
      </c>
    </row>
    <row r="33" spans="1:14" s="6" customFormat="1" ht="27.75" customHeight="1" x14ac:dyDescent="0.25">
      <c r="A33" s="17"/>
      <c r="B33" s="254" t="s">
        <v>28</v>
      </c>
      <c r="C33" s="246"/>
      <c r="D33" s="246"/>
      <c r="E33" s="262">
        <v>851</v>
      </c>
      <c r="F33" s="1" t="s">
        <v>18</v>
      </c>
      <c r="G33" s="126" t="s">
        <v>7</v>
      </c>
      <c r="H33" s="1" t="s">
        <v>615</v>
      </c>
      <c r="I33" s="1" t="s">
        <v>29</v>
      </c>
      <c r="J33" s="2">
        <f t="shared" si="14"/>
        <v>2500</v>
      </c>
      <c r="K33" s="2">
        <f t="shared" si="14"/>
        <v>0</v>
      </c>
      <c r="L33" s="80">
        <f t="shared" si="1"/>
        <v>2500</v>
      </c>
      <c r="M33" s="2">
        <f t="shared" si="14"/>
        <v>0</v>
      </c>
      <c r="N33" s="80">
        <f t="shared" si="2"/>
        <v>2500</v>
      </c>
    </row>
    <row r="34" spans="1:14" s="6" customFormat="1" ht="27.75" customHeight="1" x14ac:dyDescent="0.25">
      <c r="A34" s="17"/>
      <c r="B34" s="254" t="s">
        <v>30</v>
      </c>
      <c r="C34" s="247"/>
      <c r="D34" s="247"/>
      <c r="E34" s="262">
        <v>851</v>
      </c>
      <c r="F34" s="1" t="s">
        <v>18</v>
      </c>
      <c r="G34" s="126" t="s">
        <v>7</v>
      </c>
      <c r="H34" s="1" t="s">
        <v>615</v>
      </c>
      <c r="I34" s="1" t="s">
        <v>31</v>
      </c>
      <c r="J34" s="2">
        <f>'6 Вед15'!J25</f>
        <v>2500</v>
      </c>
      <c r="K34" s="2">
        <f>'6 Вед15'!K25</f>
        <v>0</v>
      </c>
      <c r="L34" s="80">
        <f t="shared" si="1"/>
        <v>2500</v>
      </c>
      <c r="M34" s="2">
        <f>'6 Вед15'!M25</f>
        <v>0</v>
      </c>
      <c r="N34" s="80">
        <f t="shared" si="2"/>
        <v>2500</v>
      </c>
    </row>
    <row r="35" spans="1:14" s="6" customFormat="1" ht="12" customHeight="1" x14ac:dyDescent="0.25">
      <c r="A35" s="550" t="s">
        <v>654</v>
      </c>
      <c r="B35" s="551"/>
      <c r="C35" s="247"/>
      <c r="D35" s="247"/>
      <c r="E35" s="18">
        <v>851</v>
      </c>
      <c r="F35" s="12" t="s">
        <v>18</v>
      </c>
      <c r="G35" s="12" t="s">
        <v>64</v>
      </c>
      <c r="H35" s="12"/>
      <c r="I35" s="12"/>
      <c r="J35" s="14">
        <f>J36</f>
        <v>0</v>
      </c>
      <c r="K35" s="14">
        <f t="shared" ref="K35:M37" si="15">K36</f>
        <v>0</v>
      </c>
      <c r="L35" s="80">
        <f t="shared" si="1"/>
        <v>0</v>
      </c>
      <c r="M35" s="14">
        <f t="shared" si="15"/>
        <v>0</v>
      </c>
      <c r="N35" s="80">
        <f t="shared" si="2"/>
        <v>0</v>
      </c>
    </row>
    <row r="36" spans="1:14" s="6" customFormat="1" ht="84" customHeight="1" x14ac:dyDescent="0.25">
      <c r="A36" s="552" t="s">
        <v>655</v>
      </c>
      <c r="B36" s="553"/>
      <c r="C36" s="247"/>
      <c r="D36" s="247"/>
      <c r="E36" s="262">
        <v>851</v>
      </c>
      <c r="F36" s="1" t="s">
        <v>18</v>
      </c>
      <c r="G36" s="1" t="s">
        <v>64</v>
      </c>
      <c r="H36" s="1" t="s">
        <v>656</v>
      </c>
      <c r="I36" s="1"/>
      <c r="J36" s="2">
        <f>J37</f>
        <v>0</v>
      </c>
      <c r="K36" s="2">
        <f t="shared" si="15"/>
        <v>0</v>
      </c>
      <c r="L36" s="80">
        <f t="shared" si="1"/>
        <v>0</v>
      </c>
      <c r="M36" s="2">
        <f t="shared" si="15"/>
        <v>0</v>
      </c>
      <c r="N36" s="80">
        <f t="shared" si="2"/>
        <v>0</v>
      </c>
    </row>
    <row r="37" spans="1:14" s="6" customFormat="1" ht="24" x14ac:dyDescent="0.25">
      <c r="A37" s="17"/>
      <c r="B37" s="247" t="s">
        <v>28</v>
      </c>
      <c r="C37" s="246"/>
      <c r="D37" s="246"/>
      <c r="E37" s="262">
        <v>851</v>
      </c>
      <c r="F37" s="1" t="s">
        <v>18</v>
      </c>
      <c r="G37" s="1" t="s">
        <v>64</v>
      </c>
      <c r="H37" s="1" t="s">
        <v>656</v>
      </c>
      <c r="I37" s="1" t="s">
        <v>29</v>
      </c>
      <c r="J37" s="2">
        <f>J38</f>
        <v>0</v>
      </c>
      <c r="K37" s="2">
        <f t="shared" si="15"/>
        <v>0</v>
      </c>
      <c r="L37" s="80">
        <f t="shared" si="1"/>
        <v>0</v>
      </c>
      <c r="M37" s="2">
        <f t="shared" si="15"/>
        <v>0</v>
      </c>
      <c r="N37" s="80">
        <f t="shared" si="2"/>
        <v>0</v>
      </c>
    </row>
    <row r="38" spans="1:14" s="6" customFormat="1" ht="25.5" customHeight="1" x14ac:dyDescent="0.25">
      <c r="A38" s="17"/>
      <c r="B38" s="247" t="s">
        <v>30</v>
      </c>
      <c r="C38" s="247"/>
      <c r="D38" s="247"/>
      <c r="E38" s="262">
        <v>851</v>
      </c>
      <c r="F38" s="1" t="s">
        <v>18</v>
      </c>
      <c r="G38" s="1" t="s">
        <v>64</v>
      </c>
      <c r="H38" s="1" t="s">
        <v>656</v>
      </c>
      <c r="I38" s="1" t="s">
        <v>31</v>
      </c>
      <c r="J38" s="2">
        <f>'6 Вед15'!J29</f>
        <v>0</v>
      </c>
      <c r="K38" s="2">
        <f>'6 Вед15'!K29</f>
        <v>0</v>
      </c>
      <c r="L38" s="80">
        <f t="shared" si="1"/>
        <v>0</v>
      </c>
      <c r="M38" s="2">
        <f>'6 Вед15'!M29</f>
        <v>0</v>
      </c>
      <c r="N38" s="80">
        <f t="shared" si="2"/>
        <v>0</v>
      </c>
    </row>
    <row r="39" spans="1:14" s="15" customFormat="1" ht="38.25" customHeight="1" x14ac:dyDescent="0.25">
      <c r="A39" s="550" t="s">
        <v>157</v>
      </c>
      <c r="B39" s="551"/>
      <c r="C39" s="263"/>
      <c r="D39" s="263"/>
      <c r="E39" s="32">
        <v>853</v>
      </c>
      <c r="F39" s="12" t="s">
        <v>18</v>
      </c>
      <c r="G39" s="125" t="s">
        <v>1</v>
      </c>
      <c r="H39" s="12"/>
      <c r="I39" s="12"/>
      <c r="J39" s="14">
        <f>J40+J48+J53</f>
        <v>4242000</v>
      </c>
      <c r="K39" s="14">
        <f>K40+K48+K53</f>
        <v>0</v>
      </c>
      <c r="L39" s="80">
        <f t="shared" si="1"/>
        <v>4242000</v>
      </c>
      <c r="M39" s="14">
        <f>M40+M48+M53</f>
        <v>0</v>
      </c>
      <c r="N39" s="80">
        <f t="shared" si="2"/>
        <v>4242000</v>
      </c>
    </row>
    <row r="40" spans="1:14" s="6" customFormat="1" ht="25.5" customHeight="1" x14ac:dyDescent="0.25">
      <c r="A40" s="552" t="s">
        <v>27</v>
      </c>
      <c r="B40" s="553"/>
      <c r="C40" s="262"/>
      <c r="D40" s="262"/>
      <c r="E40" s="32">
        <v>853</v>
      </c>
      <c r="F40" s="1" t="s">
        <v>23</v>
      </c>
      <c r="G40" s="126" t="s">
        <v>1</v>
      </c>
      <c r="H40" s="1" t="s">
        <v>378</v>
      </c>
      <c r="I40" s="1"/>
      <c r="J40" s="2">
        <f t="shared" ref="J40:K40" si="16">J41+J43+J45</f>
        <v>3735300</v>
      </c>
      <c r="K40" s="2">
        <f t="shared" si="16"/>
        <v>0</v>
      </c>
      <c r="L40" s="80">
        <f t="shared" si="1"/>
        <v>3735300</v>
      </c>
      <c r="M40" s="2">
        <f t="shared" ref="M40" si="17">M41+M43+M45</f>
        <v>0</v>
      </c>
      <c r="N40" s="80">
        <f t="shared" si="2"/>
        <v>3735300</v>
      </c>
    </row>
    <row r="41" spans="1:14" s="6" customFormat="1" ht="37.5" customHeight="1" x14ac:dyDescent="0.25">
      <c r="A41" s="17"/>
      <c r="B41" s="246" t="s">
        <v>22</v>
      </c>
      <c r="C41" s="262"/>
      <c r="D41" s="262"/>
      <c r="E41" s="32">
        <v>853</v>
      </c>
      <c r="F41" s="1" t="s">
        <v>18</v>
      </c>
      <c r="G41" s="126" t="s">
        <v>1</v>
      </c>
      <c r="H41" s="1" t="s">
        <v>378</v>
      </c>
      <c r="I41" s="1" t="s">
        <v>24</v>
      </c>
      <c r="J41" s="2">
        <f t="shared" ref="J41:M41" si="18">J42</f>
        <v>3406500</v>
      </c>
      <c r="K41" s="2">
        <f t="shared" si="18"/>
        <v>0</v>
      </c>
      <c r="L41" s="80">
        <f t="shared" si="1"/>
        <v>3406500</v>
      </c>
      <c r="M41" s="2">
        <f t="shared" si="18"/>
        <v>0</v>
      </c>
      <c r="N41" s="80">
        <f t="shared" si="2"/>
        <v>3406500</v>
      </c>
    </row>
    <row r="42" spans="1:14" s="6" customFormat="1" ht="24.75" customHeight="1" x14ac:dyDescent="0.25">
      <c r="A42" s="17"/>
      <c r="B42" s="246" t="s">
        <v>25</v>
      </c>
      <c r="C42" s="262"/>
      <c r="D42" s="262"/>
      <c r="E42" s="32">
        <v>853</v>
      </c>
      <c r="F42" s="1" t="s">
        <v>18</v>
      </c>
      <c r="G42" s="126" t="s">
        <v>1</v>
      </c>
      <c r="H42" s="1" t="s">
        <v>378</v>
      </c>
      <c r="I42" s="1" t="s">
        <v>26</v>
      </c>
      <c r="J42" s="2">
        <f>'6 Вед15'!J270</f>
        <v>3406500</v>
      </c>
      <c r="K42" s="2">
        <f>'6 Вед15'!K270</f>
        <v>0</v>
      </c>
      <c r="L42" s="80">
        <f t="shared" si="1"/>
        <v>3406500</v>
      </c>
      <c r="M42" s="2">
        <f>'6 Вед15'!M270</f>
        <v>0</v>
      </c>
      <c r="N42" s="80">
        <f t="shared" si="2"/>
        <v>3406500</v>
      </c>
    </row>
    <row r="43" spans="1:14" s="6" customFormat="1" ht="24.75" customHeight="1" x14ac:dyDescent="0.25">
      <c r="A43" s="17"/>
      <c r="B43" s="254" t="s">
        <v>28</v>
      </c>
      <c r="C43" s="262"/>
      <c r="D43" s="262"/>
      <c r="E43" s="32">
        <v>853</v>
      </c>
      <c r="F43" s="1" t="s">
        <v>18</v>
      </c>
      <c r="G43" s="126" t="s">
        <v>1</v>
      </c>
      <c r="H43" s="1" t="s">
        <v>378</v>
      </c>
      <c r="I43" s="1" t="s">
        <v>29</v>
      </c>
      <c r="J43" s="2">
        <f>J44</f>
        <v>314800</v>
      </c>
      <c r="K43" s="2">
        <f t="shared" ref="K43:M43" si="19">K44</f>
        <v>0</v>
      </c>
      <c r="L43" s="80">
        <f t="shared" si="1"/>
        <v>314800</v>
      </c>
      <c r="M43" s="2">
        <f t="shared" si="19"/>
        <v>0</v>
      </c>
      <c r="N43" s="80">
        <f t="shared" si="2"/>
        <v>314800</v>
      </c>
    </row>
    <row r="44" spans="1:14" s="6" customFormat="1" ht="24.75" customHeight="1" x14ac:dyDescent="0.25">
      <c r="A44" s="17"/>
      <c r="B44" s="254" t="s">
        <v>30</v>
      </c>
      <c r="C44" s="262"/>
      <c r="D44" s="262"/>
      <c r="E44" s="32">
        <v>853</v>
      </c>
      <c r="F44" s="1" t="s">
        <v>18</v>
      </c>
      <c r="G44" s="126" t="s">
        <v>1</v>
      </c>
      <c r="H44" s="1" t="s">
        <v>378</v>
      </c>
      <c r="I44" s="1" t="s">
        <v>31</v>
      </c>
      <c r="J44" s="2">
        <f>'6 Вед15'!J272</f>
        <v>314800</v>
      </c>
      <c r="K44" s="2">
        <f>'6 Вед15'!K272</f>
        <v>0</v>
      </c>
      <c r="L44" s="80">
        <f t="shared" si="1"/>
        <v>314800</v>
      </c>
      <c r="M44" s="2">
        <f>'6 Вед15'!M272</f>
        <v>0</v>
      </c>
      <c r="N44" s="80">
        <f t="shared" si="2"/>
        <v>314800</v>
      </c>
    </row>
    <row r="45" spans="1:14" s="6" customFormat="1" x14ac:dyDescent="0.25">
      <c r="A45" s="17"/>
      <c r="B45" s="254" t="s">
        <v>32</v>
      </c>
      <c r="C45" s="262"/>
      <c r="D45" s="262"/>
      <c r="E45" s="32">
        <v>853</v>
      </c>
      <c r="F45" s="1" t="s">
        <v>18</v>
      </c>
      <c r="G45" s="126" t="s">
        <v>1</v>
      </c>
      <c r="H45" s="1" t="s">
        <v>378</v>
      </c>
      <c r="I45" s="1" t="s">
        <v>33</v>
      </c>
      <c r="J45" s="2">
        <f>J46+J47</f>
        <v>14000</v>
      </c>
      <c r="K45" s="2">
        <f>'6 Вед15'!K273</f>
        <v>0</v>
      </c>
      <c r="L45" s="80">
        <f t="shared" si="1"/>
        <v>14000</v>
      </c>
      <c r="M45" s="2">
        <f>'6 Вед15'!M273</f>
        <v>0</v>
      </c>
      <c r="N45" s="80">
        <f t="shared" si="2"/>
        <v>14000</v>
      </c>
    </row>
    <row r="46" spans="1:14" s="6" customFormat="1" ht="24" x14ac:dyDescent="0.25">
      <c r="A46" s="17"/>
      <c r="B46" s="254" t="s">
        <v>34</v>
      </c>
      <c r="C46" s="262"/>
      <c r="D46" s="262"/>
      <c r="E46" s="32">
        <v>853</v>
      </c>
      <c r="F46" s="1" t="s">
        <v>18</v>
      </c>
      <c r="G46" s="126" t="s">
        <v>1</v>
      </c>
      <c r="H46" s="1" t="s">
        <v>378</v>
      </c>
      <c r="I46" s="1" t="s">
        <v>35</v>
      </c>
      <c r="J46" s="2">
        <f>'6 Вед15'!J274</f>
        <v>13870</v>
      </c>
      <c r="K46" s="2">
        <f>'6 Вед15'!K274</f>
        <v>0</v>
      </c>
      <c r="L46" s="80">
        <f t="shared" si="1"/>
        <v>13870</v>
      </c>
      <c r="M46" s="2">
        <f>'6 Вед15'!M274</f>
        <v>0</v>
      </c>
      <c r="N46" s="80">
        <f t="shared" si="2"/>
        <v>13870</v>
      </c>
    </row>
    <row r="47" spans="1:14" s="6" customFormat="1" x14ac:dyDescent="0.25">
      <c r="A47" s="228"/>
      <c r="B47" s="309" t="s">
        <v>596</v>
      </c>
      <c r="C47" s="310"/>
      <c r="D47" s="310"/>
      <c r="E47" s="32"/>
      <c r="F47" s="1" t="s">
        <v>18</v>
      </c>
      <c r="G47" s="126" t="s">
        <v>1</v>
      </c>
      <c r="H47" s="1" t="s">
        <v>378</v>
      </c>
      <c r="I47" s="1" t="s">
        <v>36</v>
      </c>
      <c r="J47" s="2">
        <f>'6 Вед15'!J275</f>
        <v>130</v>
      </c>
      <c r="K47" s="2"/>
      <c r="L47" s="80">
        <f t="shared" si="1"/>
        <v>130</v>
      </c>
      <c r="M47" s="2"/>
      <c r="N47" s="80">
        <f t="shared" si="2"/>
        <v>130</v>
      </c>
    </row>
    <row r="48" spans="1:14" s="6" customFormat="1" ht="27" customHeight="1" x14ac:dyDescent="0.25">
      <c r="A48" s="552" t="s">
        <v>178</v>
      </c>
      <c r="B48" s="553"/>
      <c r="C48" s="247"/>
      <c r="D48" s="247"/>
      <c r="E48" s="262">
        <v>854</v>
      </c>
      <c r="F48" s="1" t="s">
        <v>18</v>
      </c>
      <c r="G48" s="126" t="s">
        <v>1</v>
      </c>
      <c r="H48" s="1" t="s">
        <v>179</v>
      </c>
      <c r="I48" s="1"/>
      <c r="J48" s="2">
        <f>J49+J51</f>
        <v>488700</v>
      </c>
      <c r="K48" s="2">
        <f t="shared" ref="K48:M48" si="20">K49+K51</f>
        <v>0</v>
      </c>
      <c r="L48" s="80">
        <f t="shared" si="1"/>
        <v>488700</v>
      </c>
      <c r="M48" s="2">
        <f t="shared" si="20"/>
        <v>0</v>
      </c>
      <c r="N48" s="80">
        <f t="shared" si="2"/>
        <v>488700</v>
      </c>
    </row>
    <row r="49" spans="1:14" s="6" customFormat="1" ht="63" customHeight="1" x14ac:dyDescent="0.25">
      <c r="A49" s="247"/>
      <c r="B49" s="246" t="s">
        <v>22</v>
      </c>
      <c r="C49" s="247"/>
      <c r="D49" s="247"/>
      <c r="E49" s="262">
        <v>854</v>
      </c>
      <c r="F49" s="1" t="s">
        <v>23</v>
      </c>
      <c r="G49" s="126" t="s">
        <v>1</v>
      </c>
      <c r="H49" s="1" t="s">
        <v>179</v>
      </c>
      <c r="I49" s="1" t="s">
        <v>24</v>
      </c>
      <c r="J49" s="2">
        <f t="shared" ref="J49:M49" si="21">J50</f>
        <v>459000</v>
      </c>
      <c r="K49" s="2">
        <f t="shared" si="21"/>
        <v>0</v>
      </c>
      <c r="L49" s="80">
        <f t="shared" si="1"/>
        <v>459000</v>
      </c>
      <c r="M49" s="2">
        <f t="shared" si="21"/>
        <v>0</v>
      </c>
      <c r="N49" s="80">
        <f t="shared" si="2"/>
        <v>459000</v>
      </c>
    </row>
    <row r="50" spans="1:14" s="6" customFormat="1" ht="24" customHeight="1" x14ac:dyDescent="0.25">
      <c r="A50" s="17"/>
      <c r="B50" s="246" t="s">
        <v>25</v>
      </c>
      <c r="C50" s="246"/>
      <c r="D50" s="246"/>
      <c r="E50" s="262">
        <v>854</v>
      </c>
      <c r="F50" s="1" t="s">
        <v>18</v>
      </c>
      <c r="G50" s="126" t="s">
        <v>1</v>
      </c>
      <c r="H50" s="1" t="s">
        <v>179</v>
      </c>
      <c r="I50" s="1" t="s">
        <v>26</v>
      </c>
      <c r="J50" s="2">
        <f>'6 Вед15'!J348</f>
        <v>459000</v>
      </c>
      <c r="K50" s="2">
        <f>'6 Вед15'!K348</f>
        <v>0</v>
      </c>
      <c r="L50" s="80">
        <f t="shared" si="1"/>
        <v>459000</v>
      </c>
      <c r="M50" s="2">
        <f>'6 Вед15'!M348</f>
        <v>0</v>
      </c>
      <c r="N50" s="80">
        <f t="shared" si="2"/>
        <v>459000</v>
      </c>
    </row>
    <row r="51" spans="1:14" s="6" customFormat="1" ht="25.5" customHeight="1" x14ac:dyDescent="0.25">
      <c r="A51" s="17"/>
      <c r="B51" s="325" t="s">
        <v>28</v>
      </c>
      <c r="C51" s="323"/>
      <c r="D51" s="1" t="s">
        <v>18</v>
      </c>
      <c r="E51" s="289">
        <v>854</v>
      </c>
      <c r="F51" s="1" t="s">
        <v>18</v>
      </c>
      <c r="G51" s="126" t="s">
        <v>1</v>
      </c>
      <c r="H51" s="1" t="s">
        <v>179</v>
      </c>
      <c r="I51" s="1" t="s">
        <v>29</v>
      </c>
      <c r="J51" s="2">
        <f>J52</f>
        <v>29700</v>
      </c>
      <c r="K51" s="2">
        <f t="shared" ref="J51:M54" si="22">K52</f>
        <v>0</v>
      </c>
      <c r="L51" s="80">
        <f t="shared" si="1"/>
        <v>29700</v>
      </c>
      <c r="M51" s="2">
        <f t="shared" si="22"/>
        <v>0</v>
      </c>
      <c r="N51" s="80">
        <f t="shared" si="2"/>
        <v>29700</v>
      </c>
    </row>
    <row r="52" spans="1:14" s="6" customFormat="1" ht="25.5" customHeight="1" x14ac:dyDescent="0.25">
      <c r="A52" s="17"/>
      <c r="B52" s="325" t="s">
        <v>30</v>
      </c>
      <c r="C52" s="324"/>
      <c r="D52" s="1" t="s">
        <v>18</v>
      </c>
      <c r="E52" s="289">
        <v>854</v>
      </c>
      <c r="F52" s="1" t="s">
        <v>18</v>
      </c>
      <c r="G52" s="126" t="s">
        <v>1</v>
      </c>
      <c r="H52" s="1" t="s">
        <v>179</v>
      </c>
      <c r="I52" s="1" t="s">
        <v>31</v>
      </c>
      <c r="J52" s="2">
        <f>'6 Вед15'!J350</f>
        <v>29700</v>
      </c>
      <c r="K52" s="2">
        <f>'6 Вед15'!K350</f>
        <v>0</v>
      </c>
      <c r="L52" s="80">
        <f t="shared" si="1"/>
        <v>29700</v>
      </c>
      <c r="M52" s="2">
        <f>'6 Вед15'!M350</f>
        <v>0</v>
      </c>
      <c r="N52" s="80">
        <f t="shared" si="2"/>
        <v>29700</v>
      </c>
    </row>
    <row r="53" spans="1:14" s="6" customFormat="1" ht="41.25" customHeight="1" x14ac:dyDescent="0.25">
      <c r="A53" s="552" t="s">
        <v>373</v>
      </c>
      <c r="B53" s="553"/>
      <c r="C53" s="247"/>
      <c r="D53" s="1" t="s">
        <v>18</v>
      </c>
      <c r="E53" s="262">
        <v>854</v>
      </c>
      <c r="F53" s="1" t="s">
        <v>23</v>
      </c>
      <c r="G53" s="126" t="s">
        <v>1</v>
      </c>
      <c r="H53" s="1" t="s">
        <v>616</v>
      </c>
      <c r="I53" s="1"/>
      <c r="J53" s="2">
        <f t="shared" si="22"/>
        <v>18000</v>
      </c>
      <c r="K53" s="2">
        <f t="shared" si="22"/>
        <v>0</v>
      </c>
      <c r="L53" s="80">
        <f t="shared" si="1"/>
        <v>18000</v>
      </c>
      <c r="M53" s="2">
        <f t="shared" si="22"/>
        <v>0</v>
      </c>
      <c r="N53" s="80">
        <f t="shared" si="2"/>
        <v>18000</v>
      </c>
    </row>
    <row r="54" spans="1:14" s="6" customFormat="1" ht="25.5" customHeight="1" x14ac:dyDescent="0.25">
      <c r="A54" s="17"/>
      <c r="B54" s="254" t="s">
        <v>28</v>
      </c>
      <c r="C54" s="246"/>
      <c r="D54" s="1" t="s">
        <v>18</v>
      </c>
      <c r="E54" s="262">
        <v>854</v>
      </c>
      <c r="F54" s="1" t="s">
        <v>18</v>
      </c>
      <c r="G54" s="126" t="s">
        <v>1</v>
      </c>
      <c r="H54" s="1" t="s">
        <v>616</v>
      </c>
      <c r="I54" s="1" t="s">
        <v>29</v>
      </c>
      <c r="J54" s="2">
        <f>J55</f>
        <v>18000</v>
      </c>
      <c r="K54" s="2">
        <f t="shared" si="22"/>
        <v>0</v>
      </c>
      <c r="L54" s="80">
        <f t="shared" si="1"/>
        <v>18000</v>
      </c>
      <c r="M54" s="2">
        <f t="shared" si="22"/>
        <v>0</v>
      </c>
      <c r="N54" s="80">
        <f t="shared" si="2"/>
        <v>18000</v>
      </c>
    </row>
    <row r="55" spans="1:14" s="6" customFormat="1" ht="25.5" customHeight="1" x14ac:dyDescent="0.25">
      <c r="A55" s="17"/>
      <c r="B55" s="254" t="s">
        <v>30</v>
      </c>
      <c r="C55" s="247"/>
      <c r="D55" s="1" t="s">
        <v>18</v>
      </c>
      <c r="E55" s="262">
        <v>854</v>
      </c>
      <c r="F55" s="1" t="s">
        <v>18</v>
      </c>
      <c r="G55" s="126" t="s">
        <v>1</v>
      </c>
      <c r="H55" s="1" t="s">
        <v>616</v>
      </c>
      <c r="I55" s="1" t="s">
        <v>31</v>
      </c>
      <c r="J55" s="2">
        <f>'6 Вед15'!J353</f>
        <v>18000</v>
      </c>
      <c r="K55" s="2">
        <f>'6 Вед15'!K353</f>
        <v>0</v>
      </c>
      <c r="L55" s="80">
        <f t="shared" si="1"/>
        <v>18000</v>
      </c>
      <c r="M55" s="2">
        <f>'6 Вед15'!M353</f>
        <v>0</v>
      </c>
      <c r="N55" s="80">
        <f t="shared" si="2"/>
        <v>18000</v>
      </c>
    </row>
    <row r="56" spans="1:14" s="15" customFormat="1" ht="12" customHeight="1" x14ac:dyDescent="0.25">
      <c r="A56" s="550" t="s">
        <v>38</v>
      </c>
      <c r="B56" s="551"/>
      <c r="C56" s="251"/>
      <c r="D56" s="251"/>
      <c r="E56" s="262">
        <v>851</v>
      </c>
      <c r="F56" s="12" t="s">
        <v>18</v>
      </c>
      <c r="G56" s="125" t="s">
        <v>39</v>
      </c>
      <c r="H56" s="13"/>
      <c r="I56" s="12"/>
      <c r="J56" s="14">
        <f>J57</f>
        <v>200000</v>
      </c>
      <c r="K56" s="14">
        <f t="shared" ref="K56:M56" si="23">K57</f>
        <v>0</v>
      </c>
      <c r="L56" s="80">
        <f t="shared" si="1"/>
        <v>200000</v>
      </c>
      <c r="M56" s="14">
        <f t="shared" si="23"/>
        <v>0</v>
      </c>
      <c r="N56" s="80">
        <f t="shared" si="2"/>
        <v>200000</v>
      </c>
    </row>
    <row r="57" spans="1:14" s="6" customFormat="1" ht="12" customHeight="1" x14ac:dyDescent="0.25">
      <c r="A57" s="552" t="s">
        <v>41</v>
      </c>
      <c r="B57" s="553"/>
      <c r="C57" s="247"/>
      <c r="D57" s="247"/>
      <c r="E57" s="262">
        <v>851</v>
      </c>
      <c r="F57" s="1" t="s">
        <v>18</v>
      </c>
      <c r="G57" s="126" t="s">
        <v>39</v>
      </c>
      <c r="H57" s="1" t="s">
        <v>40</v>
      </c>
      <c r="I57" s="1"/>
      <c r="J57" s="2">
        <f t="shared" ref="J57:M58" si="24">J58</f>
        <v>200000</v>
      </c>
      <c r="K57" s="2">
        <f t="shared" si="24"/>
        <v>0</v>
      </c>
      <c r="L57" s="80">
        <f t="shared" si="1"/>
        <v>200000</v>
      </c>
      <c r="M57" s="2">
        <f t="shared" si="24"/>
        <v>0</v>
      </c>
      <c r="N57" s="80">
        <f t="shared" si="2"/>
        <v>200000</v>
      </c>
    </row>
    <row r="58" spans="1:14" s="6" customFormat="1" x14ac:dyDescent="0.25">
      <c r="A58" s="17"/>
      <c r="B58" s="247" t="s">
        <v>32</v>
      </c>
      <c r="C58" s="247"/>
      <c r="D58" s="247"/>
      <c r="E58" s="262">
        <v>851</v>
      </c>
      <c r="F58" s="1" t="s">
        <v>18</v>
      </c>
      <c r="G58" s="126" t="s">
        <v>39</v>
      </c>
      <c r="H58" s="1" t="s">
        <v>40</v>
      </c>
      <c r="I58" s="1" t="s">
        <v>33</v>
      </c>
      <c r="J58" s="2">
        <f t="shared" si="24"/>
        <v>200000</v>
      </c>
      <c r="K58" s="2">
        <f t="shared" si="24"/>
        <v>0</v>
      </c>
      <c r="L58" s="80">
        <f t="shared" si="1"/>
        <v>200000</v>
      </c>
      <c r="M58" s="2">
        <f t="shared" si="24"/>
        <v>0</v>
      </c>
      <c r="N58" s="80">
        <f t="shared" si="2"/>
        <v>200000</v>
      </c>
    </row>
    <row r="59" spans="1:14" s="6" customFormat="1" x14ac:dyDescent="0.25">
      <c r="A59" s="17"/>
      <c r="B59" s="246" t="s">
        <v>42</v>
      </c>
      <c r="C59" s="246"/>
      <c r="D59" s="246"/>
      <c r="E59" s="262">
        <v>851</v>
      </c>
      <c r="F59" s="1" t="s">
        <v>18</v>
      </c>
      <c r="G59" s="126" t="s">
        <v>39</v>
      </c>
      <c r="H59" s="1" t="s">
        <v>40</v>
      </c>
      <c r="I59" s="1" t="s">
        <v>43</v>
      </c>
      <c r="J59" s="2">
        <f>'6 Вед15'!J33</f>
        <v>200000</v>
      </c>
      <c r="K59" s="2">
        <f>'6 Вед15'!K33</f>
        <v>0</v>
      </c>
      <c r="L59" s="80">
        <f t="shared" si="1"/>
        <v>200000</v>
      </c>
      <c r="M59" s="2">
        <f>'6 Вед15'!M33</f>
        <v>0</v>
      </c>
      <c r="N59" s="80">
        <f t="shared" si="2"/>
        <v>200000</v>
      </c>
    </row>
    <row r="60" spans="1:14" s="15" customFormat="1" ht="12" customHeight="1" x14ac:dyDescent="0.25">
      <c r="A60" s="550" t="s">
        <v>44</v>
      </c>
      <c r="B60" s="551"/>
      <c r="C60" s="251"/>
      <c r="D60" s="251"/>
      <c r="E60" s="262">
        <v>851</v>
      </c>
      <c r="F60" s="12" t="s">
        <v>18</v>
      </c>
      <c r="G60" s="125" t="s">
        <v>45</v>
      </c>
      <c r="H60" s="13"/>
      <c r="I60" s="12"/>
      <c r="J60" s="14">
        <f>J61+J79+J82+J68+J71+J74</f>
        <v>6237900</v>
      </c>
      <c r="K60" s="14">
        <f t="shared" ref="K60:M60" si="25">K61+K79+K82+K68+K71+K74</f>
        <v>803088</v>
      </c>
      <c r="L60" s="80">
        <f t="shared" si="1"/>
        <v>7040988</v>
      </c>
      <c r="M60" s="14">
        <f t="shared" si="25"/>
        <v>-23856</v>
      </c>
      <c r="N60" s="80">
        <f t="shared" si="2"/>
        <v>7017132</v>
      </c>
    </row>
    <row r="61" spans="1:14" s="6" customFormat="1" ht="72.75" customHeight="1" x14ac:dyDescent="0.25">
      <c r="A61" s="552" t="s">
        <v>46</v>
      </c>
      <c r="B61" s="553"/>
      <c r="C61" s="262"/>
      <c r="D61" s="262"/>
      <c r="E61" s="262">
        <v>851</v>
      </c>
      <c r="F61" s="1" t="s">
        <v>18</v>
      </c>
      <c r="G61" s="126" t="s">
        <v>45</v>
      </c>
      <c r="H61" s="1" t="s">
        <v>47</v>
      </c>
      <c r="I61" s="1"/>
      <c r="J61" s="2">
        <f t="shared" ref="J61:K61" si="26">J62+J64+J66</f>
        <v>340900</v>
      </c>
      <c r="K61" s="2">
        <f t="shared" si="26"/>
        <v>0</v>
      </c>
      <c r="L61" s="80">
        <f t="shared" si="1"/>
        <v>340900</v>
      </c>
      <c r="M61" s="2">
        <f t="shared" ref="M61" si="27">M62+M64+M66</f>
        <v>-23856</v>
      </c>
      <c r="N61" s="80">
        <f t="shared" si="2"/>
        <v>317044</v>
      </c>
    </row>
    <row r="62" spans="1:14" s="6" customFormat="1" ht="48.75" customHeight="1" x14ac:dyDescent="0.25">
      <c r="A62" s="17"/>
      <c r="B62" s="246" t="s">
        <v>22</v>
      </c>
      <c r="C62" s="262"/>
      <c r="D62" s="262"/>
      <c r="E62" s="262">
        <v>851</v>
      </c>
      <c r="F62" s="1" t="s">
        <v>18</v>
      </c>
      <c r="G62" s="126" t="s">
        <v>45</v>
      </c>
      <c r="H62" s="1" t="s">
        <v>47</v>
      </c>
      <c r="I62" s="1" t="s">
        <v>24</v>
      </c>
      <c r="J62" s="2">
        <f t="shared" ref="J62:M62" si="28">J63</f>
        <v>216840</v>
      </c>
      <c r="K62" s="2">
        <f t="shared" si="28"/>
        <v>0</v>
      </c>
      <c r="L62" s="80">
        <f t="shared" si="1"/>
        <v>216840</v>
      </c>
      <c r="M62" s="2">
        <f t="shared" si="28"/>
        <v>0</v>
      </c>
      <c r="N62" s="80">
        <f t="shared" si="2"/>
        <v>216840</v>
      </c>
    </row>
    <row r="63" spans="1:14" s="6" customFormat="1" ht="24.75" customHeight="1" x14ac:dyDescent="0.25">
      <c r="A63" s="17"/>
      <c r="B63" s="246" t="s">
        <v>25</v>
      </c>
      <c r="C63" s="262"/>
      <c r="D63" s="262"/>
      <c r="E63" s="262">
        <v>851</v>
      </c>
      <c r="F63" s="1" t="s">
        <v>18</v>
      </c>
      <c r="G63" s="126" t="s">
        <v>45</v>
      </c>
      <c r="H63" s="1" t="s">
        <v>47</v>
      </c>
      <c r="I63" s="1" t="s">
        <v>26</v>
      </c>
      <c r="J63" s="2">
        <f>'6 Вед15'!J37</f>
        <v>216840</v>
      </c>
      <c r="K63" s="2">
        <f>'6 Вед15'!K37</f>
        <v>0</v>
      </c>
      <c r="L63" s="80">
        <f t="shared" si="1"/>
        <v>216840</v>
      </c>
      <c r="M63" s="2">
        <f>'6 Вед15'!M37</f>
        <v>0</v>
      </c>
      <c r="N63" s="80">
        <f t="shared" si="2"/>
        <v>216840</v>
      </c>
    </row>
    <row r="64" spans="1:14" s="6" customFormat="1" ht="24.75" customHeight="1" x14ac:dyDescent="0.25">
      <c r="A64" s="17"/>
      <c r="B64" s="254" t="s">
        <v>28</v>
      </c>
      <c r="C64" s="262"/>
      <c r="D64" s="262"/>
      <c r="E64" s="262">
        <v>851</v>
      </c>
      <c r="F64" s="1" t="s">
        <v>18</v>
      </c>
      <c r="G64" s="126" t="s">
        <v>45</v>
      </c>
      <c r="H64" s="1" t="s">
        <v>47</v>
      </c>
      <c r="I64" s="1" t="s">
        <v>29</v>
      </c>
      <c r="J64" s="2">
        <f>'6 Вед15'!J38</f>
        <v>123860</v>
      </c>
      <c r="K64" s="2">
        <f>'6 Вед15'!K38</f>
        <v>0</v>
      </c>
      <c r="L64" s="80">
        <f t="shared" si="1"/>
        <v>123860</v>
      </c>
      <c r="M64" s="2">
        <f>'6 Вед15'!M38</f>
        <v>-23856</v>
      </c>
      <c r="N64" s="80">
        <f t="shared" si="2"/>
        <v>100004</v>
      </c>
    </row>
    <row r="65" spans="1:14" s="6" customFormat="1" ht="24.75" customHeight="1" x14ac:dyDescent="0.25">
      <c r="A65" s="17"/>
      <c r="B65" s="254" t="s">
        <v>30</v>
      </c>
      <c r="C65" s="262"/>
      <c r="D65" s="262"/>
      <c r="E65" s="262">
        <v>851</v>
      </c>
      <c r="F65" s="1" t="s">
        <v>18</v>
      </c>
      <c r="G65" s="126" t="s">
        <v>45</v>
      </c>
      <c r="H65" s="1" t="s">
        <v>47</v>
      </c>
      <c r="I65" s="1" t="s">
        <v>31</v>
      </c>
      <c r="J65" s="2">
        <f>'6 Вед15'!J39</f>
        <v>123860</v>
      </c>
      <c r="K65" s="2">
        <f>'6 Вед15'!K39</f>
        <v>0</v>
      </c>
      <c r="L65" s="80">
        <f t="shared" si="1"/>
        <v>123860</v>
      </c>
      <c r="M65" s="2">
        <f>'6 Вед15'!M39</f>
        <v>-23856</v>
      </c>
      <c r="N65" s="80">
        <f t="shared" si="2"/>
        <v>100004</v>
      </c>
    </row>
    <row r="66" spans="1:14" s="6" customFormat="1" x14ac:dyDescent="0.25">
      <c r="A66" s="17"/>
      <c r="B66" s="246" t="s">
        <v>158</v>
      </c>
      <c r="C66" s="256"/>
      <c r="D66" s="256"/>
      <c r="E66" s="32">
        <v>853</v>
      </c>
      <c r="F66" s="1" t="s">
        <v>18</v>
      </c>
      <c r="G66" s="127" t="s">
        <v>45</v>
      </c>
      <c r="H66" s="1" t="s">
        <v>47</v>
      </c>
      <c r="I66" s="1" t="s">
        <v>159</v>
      </c>
      <c r="J66" s="2">
        <f t="shared" ref="J66:M66" si="29">J67</f>
        <v>200</v>
      </c>
      <c r="K66" s="2">
        <f t="shared" si="29"/>
        <v>0</v>
      </c>
      <c r="L66" s="80">
        <f t="shared" si="1"/>
        <v>200</v>
      </c>
      <c r="M66" s="2">
        <f t="shared" si="29"/>
        <v>0</v>
      </c>
      <c r="N66" s="80">
        <f t="shared" si="2"/>
        <v>200</v>
      </c>
    </row>
    <row r="67" spans="1:14" s="6" customFormat="1" x14ac:dyDescent="0.25">
      <c r="A67" s="17"/>
      <c r="B67" s="246" t="s">
        <v>160</v>
      </c>
      <c r="C67" s="256"/>
      <c r="D67" s="256"/>
      <c r="E67" s="32">
        <v>853</v>
      </c>
      <c r="F67" s="1" t="s">
        <v>18</v>
      </c>
      <c r="G67" s="127" t="s">
        <v>45</v>
      </c>
      <c r="H67" s="1" t="s">
        <v>47</v>
      </c>
      <c r="I67" s="1" t="s">
        <v>161</v>
      </c>
      <c r="J67" s="2">
        <f>'6 Вед15'!J279</f>
        <v>200</v>
      </c>
      <c r="K67" s="2">
        <f>'6 Вед15'!K279</f>
        <v>0</v>
      </c>
      <c r="L67" s="80">
        <f t="shared" si="1"/>
        <v>200</v>
      </c>
      <c r="M67" s="2">
        <f>'6 Вед15'!M279</f>
        <v>0</v>
      </c>
      <c r="N67" s="80">
        <f t="shared" si="2"/>
        <v>200</v>
      </c>
    </row>
    <row r="68" spans="1:14" s="6" customFormat="1" ht="25.5" customHeight="1" x14ac:dyDescent="0.25">
      <c r="A68" s="552" t="s">
        <v>52</v>
      </c>
      <c r="B68" s="553"/>
      <c r="C68" s="247"/>
      <c r="D68" s="247"/>
      <c r="E68" s="262">
        <v>851</v>
      </c>
      <c r="F68" s="1" t="s">
        <v>23</v>
      </c>
      <c r="G68" s="127" t="s">
        <v>45</v>
      </c>
      <c r="H68" s="1" t="s">
        <v>53</v>
      </c>
      <c r="I68" s="1"/>
      <c r="J68" s="2">
        <f t="shared" ref="J68:M69" si="30">J69</f>
        <v>450000</v>
      </c>
      <c r="K68" s="2">
        <f t="shared" si="30"/>
        <v>0</v>
      </c>
      <c r="L68" s="80">
        <f t="shared" si="1"/>
        <v>450000</v>
      </c>
      <c r="M68" s="2">
        <f t="shared" si="30"/>
        <v>0</v>
      </c>
      <c r="N68" s="80">
        <f t="shared" si="2"/>
        <v>450000</v>
      </c>
    </row>
    <row r="69" spans="1:14" s="6" customFormat="1" ht="24" x14ac:dyDescent="0.25">
      <c r="A69" s="17"/>
      <c r="B69" s="254" t="s">
        <v>28</v>
      </c>
      <c r="C69" s="246"/>
      <c r="D69" s="246"/>
      <c r="E69" s="262">
        <v>851</v>
      </c>
      <c r="F69" s="1" t="s">
        <v>18</v>
      </c>
      <c r="G69" s="126" t="s">
        <v>45</v>
      </c>
      <c r="H69" s="1" t="s">
        <v>53</v>
      </c>
      <c r="I69" s="1" t="s">
        <v>29</v>
      </c>
      <c r="J69" s="2">
        <f t="shared" si="30"/>
        <v>450000</v>
      </c>
      <c r="K69" s="2">
        <f t="shared" si="30"/>
        <v>0</v>
      </c>
      <c r="L69" s="80">
        <f t="shared" si="1"/>
        <v>450000</v>
      </c>
      <c r="M69" s="2">
        <f t="shared" si="30"/>
        <v>0</v>
      </c>
      <c r="N69" s="80">
        <f t="shared" si="2"/>
        <v>450000</v>
      </c>
    </row>
    <row r="70" spans="1:14" s="6" customFormat="1" ht="23.25" customHeight="1" x14ac:dyDescent="0.25">
      <c r="A70" s="17"/>
      <c r="B70" s="254" t="s">
        <v>30</v>
      </c>
      <c r="C70" s="247"/>
      <c r="D70" s="247"/>
      <c r="E70" s="262">
        <v>851</v>
      </c>
      <c r="F70" s="1" t="s">
        <v>18</v>
      </c>
      <c r="G70" s="126" t="s">
        <v>45</v>
      </c>
      <c r="H70" s="1" t="s">
        <v>53</v>
      </c>
      <c r="I70" s="1" t="s">
        <v>31</v>
      </c>
      <c r="J70" s="2">
        <f>'6 Вед15'!J42</f>
        <v>450000</v>
      </c>
      <c r="K70" s="2">
        <f>'6 Вед15'!K42</f>
        <v>0</v>
      </c>
      <c r="L70" s="80">
        <f t="shared" si="1"/>
        <v>450000</v>
      </c>
      <c r="M70" s="2">
        <f>'6 Вед15'!M42</f>
        <v>0</v>
      </c>
      <c r="N70" s="80">
        <f t="shared" si="2"/>
        <v>450000</v>
      </c>
    </row>
    <row r="71" spans="1:14" s="6" customFormat="1" ht="24.75" customHeight="1" x14ac:dyDescent="0.25">
      <c r="A71" s="552" t="s">
        <v>54</v>
      </c>
      <c r="B71" s="553"/>
      <c r="C71" s="253"/>
      <c r="D71" s="253"/>
      <c r="E71" s="262">
        <v>851</v>
      </c>
      <c r="F71" s="1" t="s">
        <v>18</v>
      </c>
      <c r="G71" s="126" t="s">
        <v>45</v>
      </c>
      <c r="H71" s="1" t="s">
        <v>55</v>
      </c>
      <c r="I71" s="1"/>
      <c r="J71" s="2">
        <f t="shared" ref="J71:M71" si="31">J72</f>
        <v>1575000</v>
      </c>
      <c r="K71" s="2">
        <f t="shared" si="31"/>
        <v>0</v>
      </c>
      <c r="L71" s="80">
        <f t="shared" si="1"/>
        <v>1575000</v>
      </c>
      <c r="M71" s="2">
        <f t="shared" si="31"/>
        <v>0</v>
      </c>
      <c r="N71" s="80">
        <f t="shared" si="2"/>
        <v>1575000</v>
      </c>
    </row>
    <row r="72" spans="1:14" s="6" customFormat="1" ht="23.25" customHeight="1" x14ac:dyDescent="0.25">
      <c r="A72" s="17"/>
      <c r="B72" s="254" t="s">
        <v>28</v>
      </c>
      <c r="C72" s="246"/>
      <c r="D72" s="246"/>
      <c r="E72" s="262">
        <v>851</v>
      </c>
      <c r="F72" s="1" t="s">
        <v>18</v>
      </c>
      <c r="G72" s="126" t="s">
        <v>45</v>
      </c>
      <c r="H72" s="1" t="s">
        <v>55</v>
      </c>
      <c r="I72" s="1" t="s">
        <v>29</v>
      </c>
      <c r="J72" s="2">
        <f t="shared" ref="J72:M72" si="32">J73</f>
        <v>1575000</v>
      </c>
      <c r="K72" s="2">
        <f t="shared" si="32"/>
        <v>0</v>
      </c>
      <c r="L72" s="80">
        <f t="shared" si="1"/>
        <v>1575000</v>
      </c>
      <c r="M72" s="2">
        <f t="shared" si="32"/>
        <v>0</v>
      </c>
      <c r="N72" s="80">
        <f t="shared" si="2"/>
        <v>1575000</v>
      </c>
    </row>
    <row r="73" spans="1:14" s="6" customFormat="1" ht="23.25" customHeight="1" x14ac:dyDescent="0.25">
      <c r="A73" s="17"/>
      <c r="B73" s="254" t="s">
        <v>30</v>
      </c>
      <c r="C73" s="247"/>
      <c r="D73" s="247"/>
      <c r="E73" s="262">
        <v>851</v>
      </c>
      <c r="F73" s="1" t="s">
        <v>18</v>
      </c>
      <c r="G73" s="126" t="s">
        <v>45</v>
      </c>
      <c r="H73" s="1" t="s">
        <v>55</v>
      </c>
      <c r="I73" s="1" t="s">
        <v>31</v>
      </c>
      <c r="J73" s="2">
        <f>'6 Вед15'!J45</f>
        <v>1575000</v>
      </c>
      <c r="K73" s="2">
        <f>'6 Вед15'!K45</f>
        <v>0</v>
      </c>
      <c r="L73" s="80">
        <f t="shared" si="1"/>
        <v>1575000</v>
      </c>
      <c r="M73" s="2">
        <f>'6 Вед15'!M45</f>
        <v>0</v>
      </c>
      <c r="N73" s="80">
        <f t="shared" si="2"/>
        <v>1575000</v>
      </c>
    </row>
    <row r="74" spans="1:14" s="221" customFormat="1" ht="23.25" customHeight="1" x14ac:dyDescent="0.2">
      <c r="A74" s="577" t="s">
        <v>570</v>
      </c>
      <c r="B74" s="578"/>
      <c r="C74" s="220"/>
      <c r="D74" s="220"/>
      <c r="E74" s="262">
        <v>851</v>
      </c>
      <c r="F74" s="20" t="s">
        <v>18</v>
      </c>
      <c r="G74" s="20" t="s">
        <v>45</v>
      </c>
      <c r="H74" s="20" t="s">
        <v>571</v>
      </c>
      <c r="I74" s="20"/>
      <c r="J74" s="24">
        <f>J77+J75</f>
        <v>1572000</v>
      </c>
      <c r="K74" s="24">
        <f t="shared" ref="K74:M74" si="33">K77+K75</f>
        <v>763089</v>
      </c>
      <c r="L74" s="80">
        <f t="shared" ref="L74:L158" si="34">J74+K74</f>
        <v>2335089</v>
      </c>
      <c r="M74" s="24">
        <f t="shared" si="33"/>
        <v>0</v>
      </c>
      <c r="N74" s="80">
        <f t="shared" ref="N74:N100" si="35">L74+M74</f>
        <v>2335089</v>
      </c>
    </row>
    <row r="75" spans="1:14" s="6" customFormat="1" ht="23.25" customHeight="1" x14ac:dyDescent="0.25">
      <c r="A75" s="17"/>
      <c r="B75" s="254" t="s">
        <v>28</v>
      </c>
      <c r="C75" s="246"/>
      <c r="D75" s="246"/>
      <c r="E75" s="262">
        <v>851</v>
      </c>
      <c r="F75" s="1" t="s">
        <v>18</v>
      </c>
      <c r="G75" s="126" t="s">
        <v>45</v>
      </c>
      <c r="H75" s="20" t="s">
        <v>571</v>
      </c>
      <c r="I75" s="1" t="s">
        <v>29</v>
      </c>
      <c r="J75" s="2">
        <f t="shared" ref="J75:M75" si="36">J76</f>
        <v>172000</v>
      </c>
      <c r="K75" s="2">
        <f t="shared" si="36"/>
        <v>0</v>
      </c>
      <c r="L75" s="80">
        <f t="shared" si="34"/>
        <v>172000</v>
      </c>
      <c r="M75" s="2">
        <f t="shared" si="36"/>
        <v>0</v>
      </c>
      <c r="N75" s="80">
        <f t="shared" si="35"/>
        <v>172000</v>
      </c>
    </row>
    <row r="76" spans="1:14" s="6" customFormat="1" ht="23.25" customHeight="1" x14ac:dyDescent="0.25">
      <c r="A76" s="17"/>
      <c r="B76" s="254" t="s">
        <v>30</v>
      </c>
      <c r="C76" s="247"/>
      <c r="D76" s="247"/>
      <c r="E76" s="262">
        <v>851</v>
      </c>
      <c r="F76" s="1" t="s">
        <v>18</v>
      </c>
      <c r="G76" s="126" t="s">
        <v>45</v>
      </c>
      <c r="H76" s="20" t="s">
        <v>571</v>
      </c>
      <c r="I76" s="1" t="s">
        <v>31</v>
      </c>
      <c r="J76" s="2">
        <f>'6 Вед15'!J48</f>
        <v>172000</v>
      </c>
      <c r="K76" s="2">
        <f>'6 Вед15'!K48</f>
        <v>0</v>
      </c>
      <c r="L76" s="80">
        <f t="shared" si="34"/>
        <v>172000</v>
      </c>
      <c r="M76" s="2">
        <f>'6 Вед15'!M48</f>
        <v>0</v>
      </c>
      <c r="N76" s="80">
        <f t="shared" si="35"/>
        <v>172000</v>
      </c>
    </row>
    <row r="77" spans="1:14" s="221" customFormat="1" ht="23.25" customHeight="1" x14ac:dyDescent="0.2">
      <c r="A77" s="222"/>
      <c r="B77" s="247" t="s">
        <v>597</v>
      </c>
      <c r="C77" s="220"/>
      <c r="D77" s="220"/>
      <c r="E77" s="262">
        <v>851</v>
      </c>
      <c r="F77" s="20" t="s">
        <v>18</v>
      </c>
      <c r="G77" s="20" t="s">
        <v>45</v>
      </c>
      <c r="H77" s="20" t="s">
        <v>571</v>
      </c>
      <c r="I77" s="20" t="s">
        <v>77</v>
      </c>
      <c r="J77" s="24">
        <f t="shared" ref="J77:M77" si="37">J78</f>
        <v>1400000</v>
      </c>
      <c r="K77" s="24">
        <f t="shared" si="37"/>
        <v>763089</v>
      </c>
      <c r="L77" s="80">
        <f t="shared" si="34"/>
        <v>2163089</v>
      </c>
      <c r="M77" s="24">
        <f t="shared" si="37"/>
        <v>0</v>
      </c>
      <c r="N77" s="80">
        <f t="shared" si="35"/>
        <v>2163089</v>
      </c>
    </row>
    <row r="78" spans="1:14" s="221" customFormat="1" ht="37.5" customHeight="1" x14ac:dyDescent="0.2">
      <c r="A78" s="222"/>
      <c r="B78" s="247" t="s">
        <v>78</v>
      </c>
      <c r="C78" s="220"/>
      <c r="D78" s="220"/>
      <c r="E78" s="262">
        <v>851</v>
      </c>
      <c r="F78" s="20" t="s">
        <v>18</v>
      </c>
      <c r="G78" s="20" t="s">
        <v>45</v>
      </c>
      <c r="H78" s="20" t="s">
        <v>571</v>
      </c>
      <c r="I78" s="20" t="s">
        <v>79</v>
      </c>
      <c r="J78" s="24">
        <f>'6 Вед15'!J50</f>
        <v>1400000</v>
      </c>
      <c r="K78" s="24">
        <f>'6 Вед15'!K50</f>
        <v>763089</v>
      </c>
      <c r="L78" s="80">
        <f t="shared" si="34"/>
        <v>2163089</v>
      </c>
      <c r="M78" s="24">
        <f>'6 Вед15'!M50</f>
        <v>0</v>
      </c>
      <c r="N78" s="80">
        <f t="shared" si="35"/>
        <v>2163089</v>
      </c>
    </row>
    <row r="79" spans="1:14" s="6" customFormat="1" ht="24" customHeight="1" x14ac:dyDescent="0.25">
      <c r="A79" s="552" t="s">
        <v>48</v>
      </c>
      <c r="B79" s="553"/>
      <c r="C79" s="247"/>
      <c r="D79" s="247"/>
      <c r="E79" s="262">
        <v>851</v>
      </c>
      <c r="F79" s="1" t="s">
        <v>18</v>
      </c>
      <c r="G79" s="126" t="s">
        <v>45</v>
      </c>
      <c r="H79" s="89" t="s">
        <v>49</v>
      </c>
      <c r="I79" s="1"/>
      <c r="J79" s="2">
        <f t="shared" ref="J79:M80" si="38">J80</f>
        <v>2000000</v>
      </c>
      <c r="K79" s="2">
        <f t="shared" si="38"/>
        <v>39999</v>
      </c>
      <c r="L79" s="80">
        <f t="shared" si="34"/>
        <v>2039999</v>
      </c>
      <c r="M79" s="2">
        <f t="shared" si="38"/>
        <v>0</v>
      </c>
      <c r="N79" s="80">
        <f t="shared" si="35"/>
        <v>2039999</v>
      </c>
    </row>
    <row r="80" spans="1:14" s="6" customFormat="1" ht="26.25" customHeight="1" x14ac:dyDescent="0.25">
      <c r="A80" s="17"/>
      <c r="B80" s="254" t="s">
        <v>28</v>
      </c>
      <c r="C80" s="246"/>
      <c r="D80" s="246"/>
      <c r="E80" s="262">
        <v>851</v>
      </c>
      <c r="F80" s="1" t="s">
        <v>18</v>
      </c>
      <c r="G80" s="127" t="s">
        <v>45</v>
      </c>
      <c r="H80" s="89" t="s">
        <v>49</v>
      </c>
      <c r="I80" s="1" t="s">
        <v>29</v>
      </c>
      <c r="J80" s="2">
        <f t="shared" si="38"/>
        <v>2000000</v>
      </c>
      <c r="K80" s="2">
        <f t="shared" si="38"/>
        <v>39999</v>
      </c>
      <c r="L80" s="80">
        <f t="shared" si="34"/>
        <v>2039999</v>
      </c>
      <c r="M80" s="2">
        <f t="shared" si="38"/>
        <v>0</v>
      </c>
      <c r="N80" s="80">
        <f t="shared" si="35"/>
        <v>2039999</v>
      </c>
    </row>
    <row r="81" spans="1:18" s="6" customFormat="1" ht="26.25" customHeight="1" x14ac:dyDescent="0.25">
      <c r="A81" s="17"/>
      <c r="B81" s="254" t="s">
        <v>30</v>
      </c>
      <c r="C81" s="247"/>
      <c r="D81" s="247"/>
      <c r="E81" s="262">
        <v>851</v>
      </c>
      <c r="F81" s="1" t="s">
        <v>18</v>
      </c>
      <c r="G81" s="127" t="s">
        <v>45</v>
      </c>
      <c r="H81" s="89" t="s">
        <v>49</v>
      </c>
      <c r="I81" s="1" t="s">
        <v>31</v>
      </c>
      <c r="J81" s="2">
        <f>'6 Вед15'!J53</f>
        <v>2000000</v>
      </c>
      <c r="K81" s="2">
        <f>'6 Вед15'!K53</f>
        <v>39999</v>
      </c>
      <c r="L81" s="80">
        <f t="shared" si="34"/>
        <v>2039999</v>
      </c>
      <c r="M81" s="2">
        <f>'6 Вед15'!M53</f>
        <v>0</v>
      </c>
      <c r="N81" s="80">
        <f t="shared" si="35"/>
        <v>2039999</v>
      </c>
    </row>
    <row r="82" spans="1:18" s="6" customFormat="1" ht="26.25" customHeight="1" x14ac:dyDescent="0.25">
      <c r="A82" s="552" t="s">
        <v>50</v>
      </c>
      <c r="B82" s="553"/>
      <c r="C82" s="247"/>
      <c r="D82" s="247"/>
      <c r="E82" s="262">
        <v>851</v>
      </c>
      <c r="F82" s="1" t="s">
        <v>18</v>
      </c>
      <c r="G82" s="127" t="s">
        <v>45</v>
      </c>
      <c r="H82" s="89" t="s">
        <v>51</v>
      </c>
      <c r="I82" s="1"/>
      <c r="J82" s="2">
        <f t="shared" ref="J82:M83" si="39">J83</f>
        <v>300000</v>
      </c>
      <c r="K82" s="2">
        <f t="shared" si="39"/>
        <v>0</v>
      </c>
      <c r="L82" s="80">
        <f t="shared" si="34"/>
        <v>300000</v>
      </c>
      <c r="M82" s="2">
        <f t="shared" si="39"/>
        <v>0</v>
      </c>
      <c r="N82" s="80">
        <f t="shared" si="35"/>
        <v>300000</v>
      </c>
    </row>
    <row r="83" spans="1:18" s="6" customFormat="1" ht="26.25" customHeight="1" x14ac:dyDescent="0.25">
      <c r="A83" s="17"/>
      <c r="B83" s="254" t="s">
        <v>28</v>
      </c>
      <c r="C83" s="246"/>
      <c r="D83" s="246"/>
      <c r="E83" s="262">
        <v>851</v>
      </c>
      <c r="F83" s="1" t="s">
        <v>18</v>
      </c>
      <c r="G83" s="127" t="s">
        <v>45</v>
      </c>
      <c r="H83" s="89" t="s">
        <v>51</v>
      </c>
      <c r="I83" s="1" t="s">
        <v>29</v>
      </c>
      <c r="J83" s="2">
        <f t="shared" si="39"/>
        <v>300000</v>
      </c>
      <c r="K83" s="2">
        <f t="shared" si="39"/>
        <v>0</v>
      </c>
      <c r="L83" s="80">
        <f t="shared" si="34"/>
        <v>300000</v>
      </c>
      <c r="M83" s="2">
        <f t="shared" si="39"/>
        <v>0</v>
      </c>
      <c r="N83" s="80">
        <f t="shared" si="35"/>
        <v>300000</v>
      </c>
    </row>
    <row r="84" spans="1:18" s="6" customFormat="1" ht="26.25" customHeight="1" x14ac:dyDescent="0.25">
      <c r="A84" s="17"/>
      <c r="B84" s="254" t="s">
        <v>30</v>
      </c>
      <c r="C84" s="247"/>
      <c r="D84" s="247"/>
      <c r="E84" s="262">
        <v>851</v>
      </c>
      <c r="F84" s="1" t="s">
        <v>18</v>
      </c>
      <c r="G84" s="127" t="s">
        <v>45</v>
      </c>
      <c r="H84" s="89" t="s">
        <v>51</v>
      </c>
      <c r="I84" s="1" t="s">
        <v>31</v>
      </c>
      <c r="J84" s="2">
        <f>'6 Вед15'!J56</f>
        <v>300000</v>
      </c>
      <c r="K84" s="2">
        <f>'6 Вед15'!K56</f>
        <v>0</v>
      </c>
      <c r="L84" s="80">
        <f t="shared" si="34"/>
        <v>300000</v>
      </c>
      <c r="M84" s="2">
        <f>'6 Вед15'!M56</f>
        <v>0</v>
      </c>
      <c r="N84" s="80">
        <f t="shared" si="35"/>
        <v>300000</v>
      </c>
    </row>
    <row r="85" spans="1:18" s="11" customFormat="1" ht="12" customHeight="1" x14ac:dyDescent="0.25">
      <c r="A85" s="554" t="s">
        <v>162</v>
      </c>
      <c r="B85" s="555"/>
      <c r="C85" s="258"/>
      <c r="D85" s="33"/>
      <c r="E85" s="32">
        <v>853</v>
      </c>
      <c r="F85" s="7" t="s">
        <v>74</v>
      </c>
      <c r="G85" s="124"/>
      <c r="H85" s="8"/>
      <c r="I85" s="7"/>
      <c r="J85" s="9">
        <f t="shared" ref="J85:M92" si="40">J86</f>
        <v>1229519</v>
      </c>
      <c r="K85" s="9">
        <f t="shared" si="40"/>
        <v>0</v>
      </c>
      <c r="L85" s="80">
        <f t="shared" si="34"/>
        <v>1229519</v>
      </c>
      <c r="M85" s="9">
        <f t="shared" si="40"/>
        <v>-113804</v>
      </c>
      <c r="N85" s="80">
        <f t="shared" si="35"/>
        <v>1115715</v>
      </c>
    </row>
    <row r="86" spans="1:18" s="35" customFormat="1" ht="14.25" customHeight="1" x14ac:dyDescent="0.25">
      <c r="A86" s="579" t="s">
        <v>163</v>
      </c>
      <c r="B86" s="580"/>
      <c r="C86" s="261"/>
      <c r="D86" s="34"/>
      <c r="E86" s="32">
        <v>853</v>
      </c>
      <c r="F86" s="12" t="s">
        <v>74</v>
      </c>
      <c r="G86" s="125" t="s">
        <v>4</v>
      </c>
      <c r="H86" s="13"/>
      <c r="I86" s="12"/>
      <c r="J86" s="14">
        <f t="shared" si="40"/>
        <v>1229519</v>
      </c>
      <c r="K86" s="14">
        <f t="shared" si="40"/>
        <v>0</v>
      </c>
      <c r="L86" s="80">
        <f t="shared" si="34"/>
        <v>1229519</v>
      </c>
      <c r="M86" s="14">
        <f t="shared" si="40"/>
        <v>-113804</v>
      </c>
      <c r="N86" s="80">
        <f t="shared" si="35"/>
        <v>1115715</v>
      </c>
    </row>
    <row r="87" spans="1:18" s="37" customFormat="1" ht="71.25" customHeight="1" x14ac:dyDescent="0.25">
      <c r="A87" s="556" t="s">
        <v>658</v>
      </c>
      <c r="B87" s="557"/>
      <c r="C87" s="36"/>
      <c r="E87" s="32">
        <v>853</v>
      </c>
      <c r="F87" s="38" t="s">
        <v>74</v>
      </c>
      <c r="G87" s="84" t="s">
        <v>4</v>
      </c>
      <c r="H87" s="38" t="s">
        <v>565</v>
      </c>
      <c r="I87" s="246" t="s">
        <v>164</v>
      </c>
      <c r="J87" s="133">
        <f t="shared" ref="J87:K87" si="41">J92+J89+J91</f>
        <v>1229519</v>
      </c>
      <c r="K87" s="133">
        <f t="shared" si="41"/>
        <v>0</v>
      </c>
      <c r="L87" s="80">
        <f t="shared" si="34"/>
        <v>1229519</v>
      </c>
      <c r="M87" s="133">
        <f t="shared" ref="M87" si="42">M92+M89+M91</f>
        <v>-113804</v>
      </c>
      <c r="N87" s="80">
        <f t="shared" si="35"/>
        <v>1115715</v>
      </c>
    </row>
    <row r="88" spans="1:18" s="6" customFormat="1" ht="49.5" customHeight="1" x14ac:dyDescent="0.25">
      <c r="A88" s="17"/>
      <c r="B88" s="246" t="s">
        <v>22</v>
      </c>
      <c r="C88" s="262"/>
      <c r="D88" s="262"/>
      <c r="E88" s="262">
        <v>851</v>
      </c>
      <c r="F88" s="1" t="s">
        <v>74</v>
      </c>
      <c r="G88" s="1" t="s">
        <v>4</v>
      </c>
      <c r="H88" s="145" t="s">
        <v>590</v>
      </c>
      <c r="I88" s="1" t="s">
        <v>24</v>
      </c>
      <c r="J88" s="2">
        <f t="shared" ref="J88:M88" si="43">J89</f>
        <v>379160</v>
      </c>
      <c r="K88" s="2">
        <f t="shared" si="43"/>
        <v>0</v>
      </c>
      <c r="L88" s="80">
        <f t="shared" si="34"/>
        <v>379160</v>
      </c>
      <c r="M88" s="2">
        <f t="shared" si="43"/>
        <v>0</v>
      </c>
      <c r="N88" s="80">
        <f t="shared" si="35"/>
        <v>379160</v>
      </c>
    </row>
    <row r="89" spans="1:18" s="6" customFormat="1" ht="25.5" customHeight="1" x14ac:dyDescent="0.25">
      <c r="A89" s="17"/>
      <c r="B89" s="246" t="s">
        <v>25</v>
      </c>
      <c r="C89" s="262"/>
      <c r="D89" s="262"/>
      <c r="E89" s="262">
        <v>851</v>
      </c>
      <c r="F89" s="1" t="s">
        <v>74</v>
      </c>
      <c r="G89" s="1" t="s">
        <v>4</v>
      </c>
      <c r="H89" s="145" t="s">
        <v>590</v>
      </c>
      <c r="I89" s="1" t="s">
        <v>26</v>
      </c>
      <c r="J89" s="2">
        <f>'6 Вед15'!J61</f>
        <v>379160</v>
      </c>
      <c r="K89" s="2">
        <f>'6 Вед15'!K61</f>
        <v>0</v>
      </c>
      <c r="L89" s="80">
        <f t="shared" si="34"/>
        <v>379160</v>
      </c>
      <c r="M89" s="2">
        <f>'6 Вед15'!M61</f>
        <v>0</v>
      </c>
      <c r="N89" s="80">
        <f t="shared" si="35"/>
        <v>379160</v>
      </c>
    </row>
    <row r="90" spans="1:18" s="6" customFormat="1" ht="25.5" customHeight="1" x14ac:dyDescent="0.25">
      <c r="A90" s="17"/>
      <c r="B90" s="247" t="s">
        <v>28</v>
      </c>
      <c r="C90" s="262"/>
      <c r="D90" s="262"/>
      <c r="E90" s="262">
        <v>851</v>
      </c>
      <c r="F90" s="1" t="s">
        <v>74</v>
      </c>
      <c r="G90" s="1" t="s">
        <v>4</v>
      </c>
      <c r="H90" s="145" t="s">
        <v>590</v>
      </c>
      <c r="I90" s="1" t="s">
        <v>29</v>
      </c>
      <c r="J90" s="2">
        <f t="shared" ref="J90:M90" si="44">J91</f>
        <v>49742</v>
      </c>
      <c r="K90" s="2">
        <f t="shared" si="44"/>
        <v>0</v>
      </c>
      <c r="L90" s="80">
        <f t="shared" si="34"/>
        <v>49742</v>
      </c>
      <c r="M90" s="2">
        <f t="shared" si="44"/>
        <v>-39699</v>
      </c>
      <c r="N90" s="80">
        <f t="shared" si="35"/>
        <v>10043</v>
      </c>
      <c r="R90" s="6" t="s">
        <v>813</v>
      </c>
    </row>
    <row r="91" spans="1:18" s="6" customFormat="1" ht="25.5" customHeight="1" x14ac:dyDescent="0.25">
      <c r="A91" s="17"/>
      <c r="B91" s="247" t="s">
        <v>30</v>
      </c>
      <c r="C91" s="262"/>
      <c r="D91" s="262"/>
      <c r="E91" s="262">
        <v>851</v>
      </c>
      <c r="F91" s="1" t="s">
        <v>74</v>
      </c>
      <c r="G91" s="1" t="s">
        <v>4</v>
      </c>
      <c r="H91" s="145" t="s">
        <v>590</v>
      </c>
      <c r="I91" s="1" t="s">
        <v>31</v>
      </c>
      <c r="J91" s="2">
        <f>'6 Вед15'!J63</f>
        <v>49742</v>
      </c>
      <c r="K91" s="2">
        <f>'6 Вед15'!K63</f>
        <v>0</v>
      </c>
      <c r="L91" s="80">
        <f t="shared" si="34"/>
        <v>49742</v>
      </c>
      <c r="M91" s="2">
        <f>'6 Вед15'!M63</f>
        <v>-39699</v>
      </c>
      <c r="N91" s="80">
        <f t="shared" si="35"/>
        <v>10043</v>
      </c>
    </row>
    <row r="92" spans="1:18" s="37" customFormat="1" x14ac:dyDescent="0.25">
      <c r="A92" s="36"/>
      <c r="B92" s="254" t="s">
        <v>158</v>
      </c>
      <c r="C92" s="36"/>
      <c r="E92" s="32">
        <v>853</v>
      </c>
      <c r="F92" s="38" t="s">
        <v>74</v>
      </c>
      <c r="G92" s="84" t="s">
        <v>4</v>
      </c>
      <c r="H92" s="38" t="s">
        <v>565</v>
      </c>
      <c r="I92" s="262" t="s">
        <v>159</v>
      </c>
      <c r="J92" s="133">
        <f t="shared" si="40"/>
        <v>800617</v>
      </c>
      <c r="K92" s="133">
        <f t="shared" si="40"/>
        <v>0</v>
      </c>
      <c r="L92" s="80">
        <f t="shared" si="34"/>
        <v>800617</v>
      </c>
      <c r="M92" s="133">
        <f t="shared" si="40"/>
        <v>-74105</v>
      </c>
      <c r="N92" s="80">
        <f t="shared" si="35"/>
        <v>726512</v>
      </c>
    </row>
    <row r="93" spans="1:18" s="37" customFormat="1" x14ac:dyDescent="0.25">
      <c r="A93" s="36"/>
      <c r="B93" s="254" t="s">
        <v>160</v>
      </c>
      <c r="C93" s="36"/>
      <c r="E93" s="32">
        <v>853</v>
      </c>
      <c r="F93" s="38" t="s">
        <v>74</v>
      </c>
      <c r="G93" s="84" t="s">
        <v>4</v>
      </c>
      <c r="H93" s="38" t="s">
        <v>565</v>
      </c>
      <c r="I93" s="262" t="s">
        <v>161</v>
      </c>
      <c r="J93" s="133">
        <f>'6 Вед15'!J284</f>
        <v>800617</v>
      </c>
      <c r="K93" s="133">
        <f>'6 Вед15'!K284</f>
        <v>0</v>
      </c>
      <c r="L93" s="80">
        <f t="shared" si="34"/>
        <v>800617</v>
      </c>
      <c r="M93" s="133">
        <f>'6 Вед15'!M284</f>
        <v>-74105</v>
      </c>
      <c r="N93" s="80">
        <f t="shared" si="35"/>
        <v>726512</v>
      </c>
    </row>
    <row r="94" spans="1:18" s="11" customFormat="1" ht="26.25" customHeight="1" x14ac:dyDescent="0.25">
      <c r="A94" s="554" t="s">
        <v>56</v>
      </c>
      <c r="B94" s="555"/>
      <c r="C94" s="258"/>
      <c r="D94" s="258"/>
      <c r="E94" s="262">
        <v>851</v>
      </c>
      <c r="F94" s="7" t="s">
        <v>4</v>
      </c>
      <c r="G94" s="124"/>
      <c r="H94" s="8"/>
      <c r="I94" s="7"/>
      <c r="J94" s="9">
        <f t="shared" ref="J94:M95" si="45">J95</f>
        <v>1332400</v>
      </c>
      <c r="K94" s="9">
        <f t="shared" si="45"/>
        <v>10900</v>
      </c>
      <c r="L94" s="80">
        <f t="shared" si="34"/>
        <v>1343300</v>
      </c>
      <c r="M94" s="9">
        <f t="shared" si="45"/>
        <v>0</v>
      </c>
      <c r="N94" s="80">
        <f t="shared" si="35"/>
        <v>1343300</v>
      </c>
    </row>
    <row r="95" spans="1:18" s="15" customFormat="1" ht="36" customHeight="1" x14ac:dyDescent="0.25">
      <c r="A95" s="550" t="s">
        <v>57</v>
      </c>
      <c r="B95" s="551"/>
      <c r="C95" s="251"/>
      <c r="D95" s="251"/>
      <c r="E95" s="262">
        <v>851</v>
      </c>
      <c r="F95" s="12" t="s">
        <v>4</v>
      </c>
      <c r="G95" s="125" t="s">
        <v>58</v>
      </c>
      <c r="H95" s="13"/>
      <c r="I95" s="12"/>
      <c r="J95" s="14">
        <f>J96</f>
        <v>1332400</v>
      </c>
      <c r="K95" s="14">
        <f t="shared" si="45"/>
        <v>10900</v>
      </c>
      <c r="L95" s="80">
        <f t="shared" si="34"/>
        <v>1343300</v>
      </c>
      <c r="M95" s="14">
        <f t="shared" si="45"/>
        <v>0</v>
      </c>
      <c r="N95" s="80">
        <f t="shared" si="35"/>
        <v>1343300</v>
      </c>
    </row>
    <row r="96" spans="1:18" s="6" customFormat="1" ht="13.5" customHeight="1" x14ac:dyDescent="0.25">
      <c r="A96" s="552" t="s">
        <v>572</v>
      </c>
      <c r="B96" s="553"/>
      <c r="C96" s="247"/>
      <c r="D96" s="247"/>
      <c r="E96" s="262"/>
      <c r="F96" s="1" t="s">
        <v>4</v>
      </c>
      <c r="G96" s="126" t="s">
        <v>58</v>
      </c>
      <c r="H96" s="1" t="s">
        <v>59</v>
      </c>
      <c r="I96" s="1"/>
      <c r="J96" s="2">
        <f>J97+J99</f>
        <v>1332400</v>
      </c>
      <c r="K96" s="2">
        <f t="shared" ref="K96:M96" si="46">K97+K99</f>
        <v>10900</v>
      </c>
      <c r="L96" s="80">
        <f t="shared" si="34"/>
        <v>1343300</v>
      </c>
      <c r="M96" s="2">
        <f t="shared" si="46"/>
        <v>0</v>
      </c>
      <c r="N96" s="80">
        <f t="shared" si="35"/>
        <v>1343300</v>
      </c>
    </row>
    <row r="97" spans="1:14" s="6" customFormat="1" ht="60.75" customHeight="1" x14ac:dyDescent="0.25">
      <c r="A97" s="210"/>
      <c r="B97" s="246" t="s">
        <v>22</v>
      </c>
      <c r="C97" s="247"/>
      <c r="D97" s="247"/>
      <c r="E97" s="262">
        <v>851</v>
      </c>
      <c r="F97" s="1" t="s">
        <v>4</v>
      </c>
      <c r="G97" s="127" t="s">
        <v>58</v>
      </c>
      <c r="H97" s="1" t="s">
        <v>59</v>
      </c>
      <c r="I97" s="1" t="s">
        <v>24</v>
      </c>
      <c r="J97" s="2">
        <f t="shared" ref="J97:M97" si="47">J98</f>
        <v>1246000</v>
      </c>
      <c r="K97" s="2">
        <f t="shared" si="47"/>
        <v>0</v>
      </c>
      <c r="L97" s="80">
        <f t="shared" si="34"/>
        <v>1246000</v>
      </c>
      <c r="M97" s="2">
        <f t="shared" si="47"/>
        <v>0</v>
      </c>
      <c r="N97" s="80">
        <f t="shared" si="35"/>
        <v>1246000</v>
      </c>
    </row>
    <row r="98" spans="1:14" s="6" customFormat="1" ht="24" x14ac:dyDescent="0.25">
      <c r="A98" s="210"/>
      <c r="B98" s="247" t="s">
        <v>60</v>
      </c>
      <c r="C98" s="247"/>
      <c r="D98" s="247"/>
      <c r="E98" s="262">
        <v>851</v>
      </c>
      <c r="F98" s="1" t="s">
        <v>4</v>
      </c>
      <c r="G98" s="127" t="s">
        <v>58</v>
      </c>
      <c r="H98" s="1" t="s">
        <v>59</v>
      </c>
      <c r="I98" s="1" t="s">
        <v>61</v>
      </c>
      <c r="J98" s="2">
        <f>'6 Вед15'!J68</f>
        <v>1246000</v>
      </c>
      <c r="K98" s="2">
        <f>'6 Вед15'!K68</f>
        <v>0</v>
      </c>
      <c r="L98" s="80">
        <f t="shared" si="34"/>
        <v>1246000</v>
      </c>
      <c r="M98" s="2">
        <f>'6 Вед15'!M68</f>
        <v>0</v>
      </c>
      <c r="N98" s="80">
        <f t="shared" si="35"/>
        <v>1246000</v>
      </c>
    </row>
    <row r="99" spans="1:14" s="6" customFormat="1" ht="24.75" customHeight="1" x14ac:dyDescent="0.25">
      <c r="A99" s="21"/>
      <c r="B99" s="254" t="s">
        <v>28</v>
      </c>
      <c r="C99" s="246"/>
      <c r="D99" s="246"/>
      <c r="E99" s="262">
        <v>851</v>
      </c>
      <c r="F99" s="1" t="s">
        <v>4</v>
      </c>
      <c r="G99" s="127" t="s">
        <v>58</v>
      </c>
      <c r="H99" s="1" t="s">
        <v>59</v>
      </c>
      <c r="I99" s="1" t="s">
        <v>29</v>
      </c>
      <c r="J99" s="2">
        <f>'6 Вед15'!J69</f>
        <v>86400</v>
      </c>
      <c r="K99" s="2">
        <f>'6 Вед15'!K69</f>
        <v>10900</v>
      </c>
      <c r="L99" s="80">
        <f t="shared" si="34"/>
        <v>97300</v>
      </c>
      <c r="M99" s="2">
        <f>'6 Вед15'!M69</f>
        <v>0</v>
      </c>
      <c r="N99" s="80">
        <f t="shared" si="35"/>
        <v>97300</v>
      </c>
    </row>
    <row r="100" spans="1:14" s="6" customFormat="1" ht="24.75" customHeight="1" x14ac:dyDescent="0.25">
      <c r="A100" s="21"/>
      <c r="B100" s="254" t="s">
        <v>30</v>
      </c>
      <c r="C100" s="247"/>
      <c r="D100" s="247"/>
      <c r="E100" s="262">
        <v>851</v>
      </c>
      <c r="F100" s="1" t="s">
        <v>4</v>
      </c>
      <c r="G100" s="127" t="s">
        <v>58</v>
      </c>
      <c r="H100" s="1" t="s">
        <v>59</v>
      </c>
      <c r="I100" s="1" t="s">
        <v>31</v>
      </c>
      <c r="J100" s="2">
        <f>'6 Вед15'!J70</f>
        <v>86400</v>
      </c>
      <c r="K100" s="2">
        <f>'6 Вед15'!K70</f>
        <v>10900</v>
      </c>
      <c r="L100" s="80">
        <f t="shared" si="34"/>
        <v>97300</v>
      </c>
      <c r="M100" s="2">
        <f>'6 Вед15'!M70</f>
        <v>0</v>
      </c>
      <c r="N100" s="80">
        <f t="shared" si="35"/>
        <v>97300</v>
      </c>
    </row>
    <row r="101" spans="1:14" s="11" customFormat="1" ht="12" customHeight="1" x14ac:dyDescent="0.25">
      <c r="A101" s="554" t="s">
        <v>62</v>
      </c>
      <c r="B101" s="555"/>
      <c r="C101" s="258"/>
      <c r="D101" s="258"/>
      <c r="E101" s="262">
        <v>851</v>
      </c>
      <c r="F101" s="7" t="s">
        <v>7</v>
      </c>
      <c r="G101" s="124"/>
      <c r="H101" s="8"/>
      <c r="I101" s="7"/>
      <c r="J101" s="9">
        <f>J102+J115+J119</f>
        <v>2897640</v>
      </c>
      <c r="K101" s="9">
        <f t="shared" ref="K101:N101" si="48">K102+K115+K119</f>
        <v>1300000</v>
      </c>
      <c r="L101" s="9">
        <f t="shared" si="48"/>
        <v>4197640</v>
      </c>
      <c r="M101" s="9">
        <f t="shared" si="48"/>
        <v>687855</v>
      </c>
      <c r="N101" s="9">
        <f t="shared" si="48"/>
        <v>4885495</v>
      </c>
    </row>
    <row r="102" spans="1:14" s="15" customFormat="1" ht="12" customHeight="1" x14ac:dyDescent="0.25">
      <c r="A102" s="550" t="s">
        <v>63</v>
      </c>
      <c r="B102" s="551"/>
      <c r="C102" s="251"/>
      <c r="D102" s="251"/>
      <c r="E102" s="262">
        <v>851</v>
      </c>
      <c r="F102" s="12" t="s">
        <v>7</v>
      </c>
      <c r="G102" s="125" t="s">
        <v>64</v>
      </c>
      <c r="H102" s="13"/>
      <c r="I102" s="12"/>
      <c r="J102" s="14">
        <f>J103+J106+J109+J112</f>
        <v>66140</v>
      </c>
      <c r="K102" s="14">
        <f t="shared" ref="K102:N102" si="49">K103+K106+K109+K112</f>
        <v>1300000</v>
      </c>
      <c r="L102" s="14">
        <f t="shared" si="49"/>
        <v>1366140</v>
      </c>
      <c r="M102" s="14">
        <f t="shared" si="49"/>
        <v>700000</v>
      </c>
      <c r="N102" s="14">
        <f t="shared" si="49"/>
        <v>2066140</v>
      </c>
    </row>
    <row r="103" spans="1:14" s="15" customFormat="1" ht="26.25" customHeight="1" x14ac:dyDescent="0.25">
      <c r="A103" s="552" t="s">
        <v>828</v>
      </c>
      <c r="B103" s="553"/>
      <c r="C103" s="467"/>
      <c r="D103" s="467"/>
      <c r="E103" s="289"/>
      <c r="F103" s="20" t="s">
        <v>7</v>
      </c>
      <c r="G103" s="127" t="s">
        <v>64</v>
      </c>
      <c r="H103" s="20" t="s">
        <v>827</v>
      </c>
      <c r="I103" s="20"/>
      <c r="J103" s="14"/>
      <c r="K103" s="14"/>
      <c r="L103" s="2">
        <f>L104</f>
        <v>0</v>
      </c>
      <c r="M103" s="2">
        <f t="shared" ref="M103:N104" si="50">M104</f>
        <v>700000</v>
      </c>
      <c r="N103" s="2">
        <f t="shared" si="50"/>
        <v>700000</v>
      </c>
    </row>
    <row r="104" spans="1:14" s="15" customFormat="1" ht="12" customHeight="1" x14ac:dyDescent="0.25">
      <c r="A104" s="466"/>
      <c r="B104" s="465" t="s">
        <v>32</v>
      </c>
      <c r="C104" s="467"/>
      <c r="D104" s="467"/>
      <c r="E104" s="289"/>
      <c r="F104" s="20" t="s">
        <v>7</v>
      </c>
      <c r="G104" s="127" t="s">
        <v>64</v>
      </c>
      <c r="H104" s="20" t="s">
        <v>827</v>
      </c>
      <c r="I104" s="20" t="s">
        <v>33</v>
      </c>
      <c r="J104" s="14"/>
      <c r="K104" s="14"/>
      <c r="L104" s="2">
        <f>L105</f>
        <v>0</v>
      </c>
      <c r="M104" s="2">
        <f t="shared" si="50"/>
        <v>700000</v>
      </c>
      <c r="N104" s="2">
        <f t="shared" si="50"/>
        <v>700000</v>
      </c>
    </row>
    <row r="105" spans="1:14" s="15" customFormat="1" ht="39.75" customHeight="1" x14ac:dyDescent="0.25">
      <c r="A105" s="466"/>
      <c r="B105" s="465" t="s">
        <v>376</v>
      </c>
      <c r="C105" s="467"/>
      <c r="D105" s="467"/>
      <c r="E105" s="289"/>
      <c r="F105" s="20" t="s">
        <v>7</v>
      </c>
      <c r="G105" s="127" t="s">
        <v>64</v>
      </c>
      <c r="H105" s="20" t="s">
        <v>827</v>
      </c>
      <c r="I105" s="20" t="s">
        <v>67</v>
      </c>
      <c r="J105" s="14"/>
      <c r="K105" s="14"/>
      <c r="L105" s="14"/>
      <c r="M105" s="2">
        <f>'6 Вед15'!M75</f>
        <v>700000</v>
      </c>
      <c r="N105" s="2">
        <f>L105+M105</f>
        <v>700000</v>
      </c>
    </row>
    <row r="106" spans="1:14" s="15" customFormat="1" ht="96" customHeight="1" x14ac:dyDescent="0.25">
      <c r="A106" s="552" t="s">
        <v>603</v>
      </c>
      <c r="B106" s="553"/>
      <c r="C106" s="251"/>
      <c r="D106" s="251"/>
      <c r="E106" s="262"/>
      <c r="F106" s="1" t="s">
        <v>7</v>
      </c>
      <c r="G106" s="126" t="s">
        <v>64</v>
      </c>
      <c r="H106" s="1" t="s">
        <v>604</v>
      </c>
      <c r="I106" s="1"/>
      <c r="J106" s="2">
        <f>J107</f>
        <v>11140</v>
      </c>
      <c r="K106" s="2">
        <f t="shared" ref="K106:M107" si="51">K107</f>
        <v>0</v>
      </c>
      <c r="L106" s="80">
        <f t="shared" si="34"/>
        <v>11140</v>
      </c>
      <c r="M106" s="2">
        <f t="shared" si="51"/>
        <v>0</v>
      </c>
      <c r="N106" s="80">
        <f t="shared" ref="N106:N111" si="52">L106+M106</f>
        <v>11140</v>
      </c>
    </row>
    <row r="107" spans="1:14" s="15" customFormat="1" ht="25.5" customHeight="1" x14ac:dyDescent="0.25">
      <c r="A107" s="251"/>
      <c r="B107" s="254" t="s">
        <v>28</v>
      </c>
      <c r="C107" s="246"/>
      <c r="D107" s="246"/>
      <c r="E107" s="262">
        <v>851</v>
      </c>
      <c r="F107" s="1" t="s">
        <v>7</v>
      </c>
      <c r="G107" s="126" t="s">
        <v>64</v>
      </c>
      <c r="H107" s="1" t="s">
        <v>604</v>
      </c>
      <c r="I107" s="1" t="s">
        <v>29</v>
      </c>
      <c r="J107" s="2">
        <f>J108</f>
        <v>11140</v>
      </c>
      <c r="K107" s="2">
        <f t="shared" si="51"/>
        <v>0</v>
      </c>
      <c r="L107" s="80">
        <f t="shared" si="34"/>
        <v>11140</v>
      </c>
      <c r="M107" s="2">
        <f t="shared" si="51"/>
        <v>0</v>
      </c>
      <c r="N107" s="80">
        <f t="shared" si="52"/>
        <v>11140</v>
      </c>
    </row>
    <row r="108" spans="1:14" s="15" customFormat="1" ht="25.5" customHeight="1" x14ac:dyDescent="0.25">
      <c r="A108" s="251"/>
      <c r="B108" s="254" t="s">
        <v>30</v>
      </c>
      <c r="C108" s="247"/>
      <c r="D108" s="247"/>
      <c r="E108" s="262">
        <v>851</v>
      </c>
      <c r="F108" s="1" t="s">
        <v>7</v>
      </c>
      <c r="G108" s="126" t="s">
        <v>64</v>
      </c>
      <c r="H108" s="1" t="s">
        <v>604</v>
      </c>
      <c r="I108" s="1" t="s">
        <v>31</v>
      </c>
      <c r="J108" s="2">
        <f>'6 Вед15'!J78</f>
        <v>11140</v>
      </c>
      <c r="K108" s="2">
        <f>'6 Вед15'!K78</f>
        <v>0</v>
      </c>
      <c r="L108" s="80">
        <f t="shared" si="34"/>
        <v>11140</v>
      </c>
      <c r="M108" s="2">
        <f>'6 Вед15'!M78</f>
        <v>0</v>
      </c>
      <c r="N108" s="80">
        <f t="shared" si="52"/>
        <v>11140</v>
      </c>
    </row>
    <row r="109" spans="1:14" s="6" customFormat="1" ht="36" customHeight="1" x14ac:dyDescent="0.25">
      <c r="A109" s="552" t="s">
        <v>65</v>
      </c>
      <c r="B109" s="553"/>
      <c r="C109" s="247"/>
      <c r="D109" s="247"/>
      <c r="E109" s="262">
        <v>851</v>
      </c>
      <c r="F109" s="1" t="s">
        <v>7</v>
      </c>
      <c r="G109" s="126" t="s">
        <v>64</v>
      </c>
      <c r="H109" s="90" t="s">
        <v>66</v>
      </c>
      <c r="I109" s="1"/>
      <c r="J109" s="2">
        <f t="shared" ref="J109:M110" si="53">J110</f>
        <v>55000</v>
      </c>
      <c r="K109" s="2">
        <f t="shared" si="53"/>
        <v>0</v>
      </c>
      <c r="L109" s="80">
        <f t="shared" si="34"/>
        <v>55000</v>
      </c>
      <c r="M109" s="2">
        <f t="shared" si="53"/>
        <v>0</v>
      </c>
      <c r="N109" s="80">
        <f t="shared" si="52"/>
        <v>55000</v>
      </c>
    </row>
    <row r="110" spans="1:14" s="6" customFormat="1" ht="24.75" customHeight="1" x14ac:dyDescent="0.25">
      <c r="A110" s="21"/>
      <c r="B110" s="254" t="s">
        <v>28</v>
      </c>
      <c r="C110" s="246"/>
      <c r="D110" s="246"/>
      <c r="E110" s="262">
        <v>851</v>
      </c>
      <c r="F110" s="1" t="s">
        <v>7</v>
      </c>
      <c r="G110" s="126" t="s">
        <v>64</v>
      </c>
      <c r="H110" s="90" t="s">
        <v>66</v>
      </c>
      <c r="I110" s="1" t="s">
        <v>29</v>
      </c>
      <c r="J110" s="2">
        <f t="shared" si="53"/>
        <v>55000</v>
      </c>
      <c r="K110" s="2">
        <f t="shared" si="53"/>
        <v>0</v>
      </c>
      <c r="L110" s="80">
        <f t="shared" si="34"/>
        <v>55000</v>
      </c>
      <c r="M110" s="2">
        <f t="shared" si="53"/>
        <v>0</v>
      </c>
      <c r="N110" s="80">
        <f t="shared" si="52"/>
        <v>55000</v>
      </c>
    </row>
    <row r="111" spans="1:14" s="6" customFormat="1" ht="24.75" customHeight="1" x14ac:dyDescent="0.25">
      <c r="A111" s="21"/>
      <c r="B111" s="254" t="s">
        <v>30</v>
      </c>
      <c r="C111" s="247"/>
      <c r="D111" s="247"/>
      <c r="E111" s="262">
        <v>851</v>
      </c>
      <c r="F111" s="1" t="s">
        <v>7</v>
      </c>
      <c r="G111" s="126" t="s">
        <v>64</v>
      </c>
      <c r="H111" s="90" t="s">
        <v>66</v>
      </c>
      <c r="I111" s="1" t="s">
        <v>31</v>
      </c>
      <c r="J111" s="2">
        <f>'6 Вед15'!J81</f>
        <v>55000</v>
      </c>
      <c r="K111" s="2">
        <f>'6 Вед15'!K81</f>
        <v>0</v>
      </c>
      <c r="L111" s="80">
        <f t="shared" si="34"/>
        <v>55000</v>
      </c>
      <c r="M111" s="2">
        <f>'6 Вед15'!M81</f>
        <v>0</v>
      </c>
      <c r="N111" s="80">
        <f t="shared" si="52"/>
        <v>55000</v>
      </c>
    </row>
    <row r="112" spans="1:14" s="6" customFormat="1" ht="27" customHeight="1" x14ac:dyDescent="0.25">
      <c r="A112" s="576" t="s">
        <v>749</v>
      </c>
      <c r="B112" s="576"/>
      <c r="C112" s="398"/>
      <c r="D112" s="398"/>
      <c r="E112" s="289">
        <v>851</v>
      </c>
      <c r="F112" s="1" t="s">
        <v>7</v>
      </c>
      <c r="G112" s="1" t="s">
        <v>64</v>
      </c>
      <c r="H112" s="1" t="s">
        <v>780</v>
      </c>
      <c r="I112" s="397"/>
      <c r="J112" s="2">
        <f>J113</f>
        <v>0</v>
      </c>
      <c r="K112" s="2">
        <f t="shared" ref="K112:N113" si="54">K113</f>
        <v>1300000</v>
      </c>
      <c r="L112" s="2">
        <f t="shared" si="54"/>
        <v>1300000</v>
      </c>
      <c r="M112" s="2">
        <f t="shared" si="54"/>
        <v>0</v>
      </c>
      <c r="N112" s="2">
        <f t="shared" si="54"/>
        <v>1300000</v>
      </c>
    </row>
    <row r="113" spans="1:14" s="6" customFormat="1" ht="13.5" customHeight="1" x14ac:dyDescent="0.25">
      <c r="A113" s="398"/>
      <c r="B113" s="398" t="s">
        <v>32</v>
      </c>
      <c r="C113" s="398"/>
      <c r="D113" s="398"/>
      <c r="E113" s="289">
        <v>851</v>
      </c>
      <c r="F113" s="1" t="s">
        <v>7</v>
      </c>
      <c r="G113" s="1" t="s">
        <v>64</v>
      </c>
      <c r="H113" s="1" t="s">
        <v>780</v>
      </c>
      <c r="I113" s="1" t="s">
        <v>33</v>
      </c>
      <c r="J113" s="2">
        <f>J114</f>
        <v>0</v>
      </c>
      <c r="K113" s="2">
        <f t="shared" si="54"/>
        <v>1300000</v>
      </c>
      <c r="L113" s="2">
        <f>L114</f>
        <v>1300000</v>
      </c>
      <c r="M113" s="2">
        <f t="shared" si="54"/>
        <v>0</v>
      </c>
      <c r="N113" s="2">
        <f t="shared" si="54"/>
        <v>1300000</v>
      </c>
    </row>
    <row r="114" spans="1:14" s="6" customFormat="1" ht="27" customHeight="1" x14ac:dyDescent="0.25">
      <c r="A114" s="398"/>
      <c r="B114" s="398" t="s">
        <v>376</v>
      </c>
      <c r="C114" s="398"/>
      <c r="D114" s="398"/>
      <c r="E114" s="289">
        <v>851</v>
      </c>
      <c r="F114" s="1" t="s">
        <v>7</v>
      </c>
      <c r="G114" s="1" t="s">
        <v>64</v>
      </c>
      <c r="H114" s="1" t="s">
        <v>780</v>
      </c>
      <c r="I114" s="1" t="s">
        <v>67</v>
      </c>
      <c r="J114" s="2"/>
      <c r="K114" s="2">
        <f>'6 Вед15'!K84</f>
        <v>1300000</v>
      </c>
      <c r="L114" s="2">
        <f>J114+K114</f>
        <v>1300000</v>
      </c>
      <c r="M114" s="2">
        <f>'6 Вед15'!M84</f>
        <v>0</v>
      </c>
      <c r="N114" s="2">
        <f>L114+M114</f>
        <v>1300000</v>
      </c>
    </row>
    <row r="115" spans="1:14" s="15" customFormat="1" ht="12" customHeight="1" x14ac:dyDescent="0.25">
      <c r="A115" s="550" t="s">
        <v>372</v>
      </c>
      <c r="B115" s="551"/>
      <c r="C115" s="251"/>
      <c r="D115" s="251"/>
      <c r="E115" s="262">
        <v>851</v>
      </c>
      <c r="F115" s="12" t="s">
        <v>7</v>
      </c>
      <c r="G115" s="12" t="s">
        <v>58</v>
      </c>
      <c r="H115" s="12"/>
      <c r="I115" s="12"/>
      <c r="J115" s="14">
        <f>J116</f>
        <v>2558000</v>
      </c>
      <c r="K115" s="14">
        <f t="shared" ref="K115:N115" si="55">K116</f>
        <v>0</v>
      </c>
      <c r="L115" s="14">
        <f t="shared" si="55"/>
        <v>2558000</v>
      </c>
      <c r="M115" s="14">
        <f t="shared" si="55"/>
        <v>0</v>
      </c>
      <c r="N115" s="14">
        <f t="shared" si="55"/>
        <v>2558000</v>
      </c>
    </row>
    <row r="116" spans="1:14" s="6" customFormat="1" ht="24.75" customHeight="1" x14ac:dyDescent="0.25">
      <c r="A116" s="552" t="s">
        <v>614</v>
      </c>
      <c r="B116" s="553"/>
      <c r="C116" s="247"/>
      <c r="D116" s="247"/>
      <c r="E116" s="262">
        <v>851</v>
      </c>
      <c r="F116" s="20" t="s">
        <v>7</v>
      </c>
      <c r="G116" s="20" t="s">
        <v>58</v>
      </c>
      <c r="H116" s="20" t="s">
        <v>613</v>
      </c>
      <c r="I116" s="20"/>
      <c r="J116" s="2">
        <f>J117</f>
        <v>2558000</v>
      </c>
      <c r="K116" s="2">
        <f t="shared" ref="K116:N116" si="56">K117</f>
        <v>0</v>
      </c>
      <c r="L116" s="2">
        <f t="shared" si="56"/>
        <v>2558000</v>
      </c>
      <c r="M116" s="2">
        <f t="shared" si="56"/>
        <v>0</v>
      </c>
      <c r="N116" s="2">
        <f t="shared" si="56"/>
        <v>2558000</v>
      </c>
    </row>
    <row r="117" spans="1:14" s="6" customFormat="1" ht="27" customHeight="1" x14ac:dyDescent="0.25">
      <c r="A117" s="247"/>
      <c r="B117" s="247" t="s">
        <v>28</v>
      </c>
      <c r="C117" s="247"/>
      <c r="D117" s="247"/>
      <c r="E117" s="262">
        <v>851</v>
      </c>
      <c r="F117" s="20" t="s">
        <v>7</v>
      </c>
      <c r="G117" s="20" t="s">
        <v>58</v>
      </c>
      <c r="H117" s="20" t="s">
        <v>613</v>
      </c>
      <c r="I117" s="1" t="s">
        <v>29</v>
      </c>
      <c r="J117" s="2">
        <f>J118</f>
        <v>2558000</v>
      </c>
      <c r="K117" s="2">
        <f t="shared" ref="K117:M117" si="57">K118</f>
        <v>0</v>
      </c>
      <c r="L117" s="80">
        <f t="shared" si="34"/>
        <v>2558000</v>
      </c>
      <c r="M117" s="2">
        <f t="shared" si="57"/>
        <v>0</v>
      </c>
      <c r="N117" s="80">
        <f t="shared" ref="N117:N135" si="58">L117+M117</f>
        <v>2558000</v>
      </c>
    </row>
    <row r="118" spans="1:14" s="6" customFormat="1" ht="24.75" customHeight="1" x14ac:dyDescent="0.25">
      <c r="A118" s="247"/>
      <c r="B118" s="247" t="s">
        <v>30</v>
      </c>
      <c r="C118" s="247"/>
      <c r="D118" s="247"/>
      <c r="E118" s="262">
        <v>851</v>
      </c>
      <c r="F118" s="20" t="s">
        <v>7</v>
      </c>
      <c r="G118" s="20" t="s">
        <v>58</v>
      </c>
      <c r="H118" s="20" t="s">
        <v>613</v>
      </c>
      <c r="I118" s="1" t="s">
        <v>31</v>
      </c>
      <c r="J118" s="2">
        <f>'6 Вед15'!J88</f>
        <v>2558000</v>
      </c>
      <c r="K118" s="2">
        <f>'6 Вед15'!K88</f>
        <v>0</v>
      </c>
      <c r="L118" s="80">
        <f t="shared" si="34"/>
        <v>2558000</v>
      </c>
      <c r="M118" s="2">
        <f>'6 Вед15'!M88</f>
        <v>0</v>
      </c>
      <c r="N118" s="80">
        <f t="shared" si="58"/>
        <v>2558000</v>
      </c>
    </row>
    <row r="119" spans="1:14" s="15" customFormat="1" ht="15" customHeight="1" x14ac:dyDescent="0.25">
      <c r="A119" s="550" t="s">
        <v>68</v>
      </c>
      <c r="B119" s="551"/>
      <c r="C119" s="251"/>
      <c r="D119" s="251"/>
      <c r="E119" s="262">
        <v>851</v>
      </c>
      <c r="F119" s="12" t="s">
        <v>7</v>
      </c>
      <c r="G119" s="125" t="s">
        <v>69</v>
      </c>
      <c r="H119" s="13"/>
      <c r="I119" s="12"/>
      <c r="J119" s="14">
        <f t="shared" ref="J119:K119" si="59">J120+J125</f>
        <v>273500</v>
      </c>
      <c r="K119" s="14">
        <f t="shared" si="59"/>
        <v>0</v>
      </c>
      <c r="L119" s="80">
        <f t="shared" si="34"/>
        <v>273500</v>
      </c>
      <c r="M119" s="14">
        <f t="shared" ref="M119" si="60">M120+M125</f>
        <v>-12145</v>
      </c>
      <c r="N119" s="80">
        <f t="shared" si="58"/>
        <v>261355</v>
      </c>
    </row>
    <row r="120" spans="1:14" s="6" customFormat="1" ht="37.5" customHeight="1" x14ac:dyDescent="0.25">
      <c r="A120" s="552" t="s">
        <v>70</v>
      </c>
      <c r="B120" s="553"/>
      <c r="C120" s="247"/>
      <c r="D120" s="247"/>
      <c r="E120" s="262">
        <v>851</v>
      </c>
      <c r="F120" s="20" t="s">
        <v>7</v>
      </c>
      <c r="G120" s="127" t="s">
        <v>69</v>
      </c>
      <c r="H120" s="20" t="s">
        <v>71</v>
      </c>
      <c r="I120" s="20"/>
      <c r="J120" s="2">
        <f t="shared" ref="J120:K120" si="61">J121+J123</f>
        <v>173500</v>
      </c>
      <c r="K120" s="2">
        <f t="shared" si="61"/>
        <v>0</v>
      </c>
      <c r="L120" s="80">
        <f t="shared" si="34"/>
        <v>173500</v>
      </c>
      <c r="M120" s="2">
        <f t="shared" ref="M120" si="62">M121+M123</f>
        <v>-12145</v>
      </c>
      <c r="N120" s="80">
        <f t="shared" si="58"/>
        <v>161355</v>
      </c>
    </row>
    <row r="121" spans="1:14" s="6" customFormat="1" ht="50.25" customHeight="1" x14ac:dyDescent="0.25">
      <c r="A121" s="247"/>
      <c r="B121" s="246" t="s">
        <v>22</v>
      </c>
      <c r="C121" s="247"/>
      <c r="D121" s="247"/>
      <c r="E121" s="262">
        <v>851</v>
      </c>
      <c r="F121" s="20" t="s">
        <v>7</v>
      </c>
      <c r="G121" s="127" t="s">
        <v>69</v>
      </c>
      <c r="H121" s="20" t="s">
        <v>71</v>
      </c>
      <c r="I121" s="1" t="s">
        <v>24</v>
      </c>
      <c r="J121" s="2">
        <f t="shared" ref="J121:M121" si="63">J122</f>
        <v>97615</v>
      </c>
      <c r="K121" s="2">
        <f t="shared" si="63"/>
        <v>0</v>
      </c>
      <c r="L121" s="80">
        <f t="shared" si="34"/>
        <v>97615</v>
      </c>
      <c r="M121" s="2">
        <f t="shared" si="63"/>
        <v>0</v>
      </c>
      <c r="N121" s="80">
        <f t="shared" si="58"/>
        <v>97615</v>
      </c>
    </row>
    <row r="122" spans="1:14" s="6" customFormat="1" ht="25.5" customHeight="1" x14ac:dyDescent="0.25">
      <c r="A122" s="17"/>
      <c r="B122" s="246" t="s">
        <v>25</v>
      </c>
      <c r="C122" s="246"/>
      <c r="D122" s="246"/>
      <c r="E122" s="262">
        <v>851</v>
      </c>
      <c r="F122" s="20" t="s">
        <v>7</v>
      </c>
      <c r="G122" s="127" t="s">
        <v>69</v>
      </c>
      <c r="H122" s="20" t="s">
        <v>71</v>
      </c>
      <c r="I122" s="1" t="s">
        <v>26</v>
      </c>
      <c r="J122" s="2">
        <f>'6 Вед15'!J92</f>
        <v>97615</v>
      </c>
      <c r="K122" s="2">
        <f>'6 Вед15'!K92</f>
        <v>0</v>
      </c>
      <c r="L122" s="80">
        <f t="shared" si="34"/>
        <v>97615</v>
      </c>
      <c r="M122" s="2">
        <f>'6 Вед15'!M92</f>
        <v>0</v>
      </c>
      <c r="N122" s="80">
        <f t="shared" si="58"/>
        <v>97615</v>
      </c>
    </row>
    <row r="123" spans="1:14" s="6" customFormat="1" ht="25.5" customHeight="1" x14ac:dyDescent="0.25">
      <c r="A123" s="17"/>
      <c r="B123" s="254" t="s">
        <v>28</v>
      </c>
      <c r="C123" s="246"/>
      <c r="D123" s="246"/>
      <c r="E123" s="262">
        <v>851</v>
      </c>
      <c r="F123" s="20" t="s">
        <v>7</v>
      </c>
      <c r="G123" s="127" t="s">
        <v>69</v>
      </c>
      <c r="H123" s="20" t="s">
        <v>71</v>
      </c>
      <c r="I123" s="1" t="s">
        <v>29</v>
      </c>
      <c r="J123" s="2">
        <f>'6 Вед15'!J93</f>
        <v>75885</v>
      </c>
      <c r="K123" s="2">
        <f>'6 Вед15'!K93</f>
        <v>0</v>
      </c>
      <c r="L123" s="80">
        <f t="shared" si="34"/>
        <v>75885</v>
      </c>
      <c r="M123" s="2">
        <f>'6 Вед15'!M93</f>
        <v>-12145</v>
      </c>
      <c r="N123" s="80">
        <f t="shared" si="58"/>
        <v>63740</v>
      </c>
    </row>
    <row r="124" spans="1:14" s="6" customFormat="1" ht="25.5" customHeight="1" x14ac:dyDescent="0.25">
      <c r="A124" s="17"/>
      <c r="B124" s="254" t="s">
        <v>30</v>
      </c>
      <c r="C124" s="247"/>
      <c r="D124" s="247"/>
      <c r="E124" s="262">
        <v>851</v>
      </c>
      <c r="F124" s="20" t="s">
        <v>7</v>
      </c>
      <c r="G124" s="127" t="s">
        <v>69</v>
      </c>
      <c r="H124" s="20" t="s">
        <v>71</v>
      </c>
      <c r="I124" s="1" t="s">
        <v>31</v>
      </c>
      <c r="J124" s="2">
        <f>'6 Вед15'!J94</f>
        <v>75885</v>
      </c>
      <c r="K124" s="2">
        <f>'6 Вед15'!K94</f>
        <v>0</v>
      </c>
      <c r="L124" s="80">
        <f t="shared" si="34"/>
        <v>75885</v>
      </c>
      <c r="M124" s="2">
        <f>'6 Вед15'!M94</f>
        <v>-12145</v>
      </c>
      <c r="N124" s="80">
        <f t="shared" si="58"/>
        <v>63740</v>
      </c>
    </row>
    <row r="125" spans="1:14" s="6" customFormat="1" ht="25.5" customHeight="1" x14ac:dyDescent="0.25">
      <c r="A125" s="552" t="s">
        <v>569</v>
      </c>
      <c r="B125" s="553"/>
      <c r="C125" s="247"/>
      <c r="D125" s="115"/>
      <c r="E125" s="262">
        <v>851</v>
      </c>
      <c r="F125" s="20" t="s">
        <v>7</v>
      </c>
      <c r="G125" s="20" t="s">
        <v>69</v>
      </c>
      <c r="H125" s="20" t="s">
        <v>568</v>
      </c>
      <c r="I125" s="1"/>
      <c r="J125" s="2">
        <f t="shared" ref="J125:M126" si="64">J126</f>
        <v>100000</v>
      </c>
      <c r="K125" s="2">
        <f t="shared" si="64"/>
        <v>0</v>
      </c>
      <c r="L125" s="80">
        <f t="shared" si="34"/>
        <v>100000</v>
      </c>
      <c r="M125" s="2">
        <f t="shared" si="64"/>
        <v>0</v>
      </c>
      <c r="N125" s="80">
        <f t="shared" si="58"/>
        <v>100000</v>
      </c>
    </row>
    <row r="126" spans="1:14" s="6" customFormat="1" x14ac:dyDescent="0.25">
      <c r="A126" s="17"/>
      <c r="B126" s="247" t="s">
        <v>32</v>
      </c>
      <c r="C126" s="247"/>
      <c r="D126" s="115"/>
      <c r="E126" s="262">
        <v>851</v>
      </c>
      <c r="F126" s="20" t="s">
        <v>7</v>
      </c>
      <c r="G126" s="20" t="s">
        <v>69</v>
      </c>
      <c r="H126" s="20" t="s">
        <v>568</v>
      </c>
      <c r="I126" s="1" t="s">
        <v>33</v>
      </c>
      <c r="J126" s="2">
        <f t="shared" si="64"/>
        <v>100000</v>
      </c>
      <c r="K126" s="2">
        <f t="shared" si="64"/>
        <v>0</v>
      </c>
      <c r="L126" s="80">
        <f t="shared" si="34"/>
        <v>100000</v>
      </c>
      <c r="M126" s="2">
        <f t="shared" si="64"/>
        <v>0</v>
      </c>
      <c r="N126" s="80">
        <f t="shared" si="58"/>
        <v>100000</v>
      </c>
    </row>
    <row r="127" spans="1:14" s="6" customFormat="1" ht="36.75" customHeight="1" x14ac:dyDescent="0.25">
      <c r="A127" s="17"/>
      <c r="B127" s="247" t="s">
        <v>376</v>
      </c>
      <c r="C127" s="247"/>
      <c r="D127" s="115"/>
      <c r="E127" s="262">
        <v>851</v>
      </c>
      <c r="F127" s="20" t="s">
        <v>7</v>
      </c>
      <c r="G127" s="20" t="s">
        <v>69</v>
      </c>
      <c r="H127" s="20" t="s">
        <v>568</v>
      </c>
      <c r="I127" s="1" t="s">
        <v>67</v>
      </c>
      <c r="J127" s="2">
        <f>'6 Вед15'!J97</f>
        <v>100000</v>
      </c>
      <c r="K127" s="2">
        <f>'6 Вед15'!K97</f>
        <v>0</v>
      </c>
      <c r="L127" s="80">
        <f t="shared" si="34"/>
        <v>100000</v>
      </c>
      <c r="M127" s="2">
        <f>'6 Вед15'!M97</f>
        <v>0</v>
      </c>
      <c r="N127" s="80">
        <f t="shared" si="58"/>
        <v>100000</v>
      </c>
    </row>
    <row r="128" spans="1:14" s="15" customFormat="1" x14ac:dyDescent="0.25">
      <c r="A128" s="259" t="s">
        <v>72</v>
      </c>
      <c r="B128" s="251"/>
      <c r="C128" s="251"/>
      <c r="E128" s="262">
        <v>851</v>
      </c>
      <c r="F128" s="22" t="s">
        <v>64</v>
      </c>
      <c r="G128" s="128"/>
      <c r="H128" s="23"/>
      <c r="I128" s="12"/>
      <c r="J128" s="14">
        <f>J129+J136</f>
        <v>741440</v>
      </c>
      <c r="K128" s="14">
        <f>K129+K136</f>
        <v>943038</v>
      </c>
      <c r="L128" s="92">
        <f t="shared" si="34"/>
        <v>1684478</v>
      </c>
      <c r="M128" s="14">
        <f>M129+M136</f>
        <v>68404</v>
      </c>
      <c r="N128" s="80">
        <f t="shared" si="58"/>
        <v>1752882</v>
      </c>
    </row>
    <row r="129" spans="1:14" s="15" customFormat="1" x14ac:dyDescent="0.25">
      <c r="A129" s="564" t="s">
        <v>371</v>
      </c>
      <c r="B129" s="565"/>
      <c r="C129" s="251"/>
      <c r="E129" s="262">
        <v>851</v>
      </c>
      <c r="F129" s="22" t="s">
        <v>64</v>
      </c>
      <c r="G129" s="128" t="s">
        <v>18</v>
      </c>
      <c r="H129" s="22"/>
      <c r="I129" s="12"/>
      <c r="J129" s="14">
        <f>J130+J133</f>
        <v>41440</v>
      </c>
      <c r="K129" s="14">
        <f t="shared" ref="K129:N129" si="65">K130+K133</f>
        <v>0</v>
      </c>
      <c r="L129" s="14">
        <f t="shared" si="65"/>
        <v>41440</v>
      </c>
      <c r="M129" s="14">
        <f t="shared" si="65"/>
        <v>68104</v>
      </c>
      <c r="N129" s="14">
        <f t="shared" si="65"/>
        <v>109544</v>
      </c>
    </row>
    <row r="130" spans="1:14" s="15" customFormat="1" ht="12" customHeight="1" x14ac:dyDescent="0.25">
      <c r="A130" s="552" t="s">
        <v>585</v>
      </c>
      <c r="B130" s="553"/>
      <c r="C130" s="247"/>
      <c r="D130" s="6"/>
      <c r="E130" s="262">
        <v>851</v>
      </c>
      <c r="F130" s="20" t="s">
        <v>64</v>
      </c>
      <c r="G130" s="127" t="s">
        <v>18</v>
      </c>
      <c r="H130" s="20" t="s">
        <v>586</v>
      </c>
      <c r="I130" s="1"/>
      <c r="J130" s="2">
        <f t="shared" ref="J130:M131" si="66">J131</f>
        <v>41440</v>
      </c>
      <c r="K130" s="2">
        <f t="shared" si="66"/>
        <v>0</v>
      </c>
      <c r="L130" s="80">
        <f t="shared" si="34"/>
        <v>41440</v>
      </c>
      <c r="M130" s="2">
        <f t="shared" si="66"/>
        <v>0</v>
      </c>
      <c r="N130" s="80">
        <f t="shared" si="58"/>
        <v>41440</v>
      </c>
    </row>
    <row r="131" spans="1:14" s="15" customFormat="1" ht="12.75" customHeight="1" x14ac:dyDescent="0.25">
      <c r="A131" s="247"/>
      <c r="B131" s="254" t="s">
        <v>28</v>
      </c>
      <c r="C131" s="247"/>
      <c r="D131" s="247"/>
      <c r="E131" s="262">
        <v>851</v>
      </c>
      <c r="F131" s="20" t="s">
        <v>64</v>
      </c>
      <c r="G131" s="127" t="s">
        <v>18</v>
      </c>
      <c r="H131" s="20" t="s">
        <v>586</v>
      </c>
      <c r="I131" s="1" t="s">
        <v>29</v>
      </c>
      <c r="J131" s="2">
        <f t="shared" si="66"/>
        <v>41440</v>
      </c>
      <c r="K131" s="2">
        <f t="shared" si="66"/>
        <v>0</v>
      </c>
      <c r="L131" s="80">
        <f t="shared" si="34"/>
        <v>41440</v>
      </c>
      <c r="M131" s="2">
        <f t="shared" si="66"/>
        <v>0</v>
      </c>
      <c r="N131" s="80">
        <f t="shared" si="58"/>
        <v>41440</v>
      </c>
    </row>
    <row r="132" spans="1:14" s="15" customFormat="1" ht="25.5" customHeight="1" x14ac:dyDescent="0.25">
      <c r="A132" s="247"/>
      <c r="B132" s="254" t="s">
        <v>30</v>
      </c>
      <c r="C132" s="247"/>
      <c r="D132" s="247"/>
      <c r="E132" s="262">
        <v>851</v>
      </c>
      <c r="F132" s="20" t="s">
        <v>64</v>
      </c>
      <c r="G132" s="127" t="s">
        <v>18</v>
      </c>
      <c r="H132" s="20" t="s">
        <v>586</v>
      </c>
      <c r="I132" s="1" t="s">
        <v>31</v>
      </c>
      <c r="J132" s="2">
        <f>'6 Вед15'!J102</f>
        <v>41440</v>
      </c>
      <c r="K132" s="2">
        <f>'6 Вед15'!K102</f>
        <v>0</v>
      </c>
      <c r="L132" s="80">
        <f t="shared" si="34"/>
        <v>41440</v>
      </c>
      <c r="M132" s="2">
        <f>'6 Вед15'!M102</f>
        <v>0</v>
      </c>
      <c r="N132" s="80">
        <f t="shared" si="58"/>
        <v>41440</v>
      </c>
    </row>
    <row r="133" spans="1:14" s="15" customFormat="1" ht="74.25" customHeight="1" x14ac:dyDescent="0.25">
      <c r="A133" s="552" t="s">
        <v>830</v>
      </c>
      <c r="B133" s="553"/>
      <c r="C133" s="469"/>
      <c r="D133" s="115"/>
      <c r="E133" s="289">
        <v>851</v>
      </c>
      <c r="F133" s="20" t="s">
        <v>64</v>
      </c>
      <c r="G133" s="127" t="s">
        <v>18</v>
      </c>
      <c r="H133" s="20" t="s">
        <v>831</v>
      </c>
      <c r="I133" s="1"/>
      <c r="J133" s="2"/>
      <c r="K133" s="2"/>
      <c r="L133" s="2">
        <f t="shared" si="34"/>
        <v>0</v>
      </c>
      <c r="M133" s="2">
        <f t="shared" ref="M133:M134" si="67">M134</f>
        <v>68104</v>
      </c>
      <c r="N133" s="2">
        <f t="shared" si="58"/>
        <v>68104</v>
      </c>
    </row>
    <row r="134" spans="1:14" s="15" customFormat="1" ht="14.25" customHeight="1" x14ac:dyDescent="0.25">
      <c r="A134" s="469"/>
      <c r="B134" s="470" t="s">
        <v>158</v>
      </c>
      <c r="C134" s="469"/>
      <c r="D134" s="115"/>
      <c r="E134" s="289">
        <v>851</v>
      </c>
      <c r="F134" s="20" t="s">
        <v>64</v>
      </c>
      <c r="G134" s="127" t="s">
        <v>18</v>
      </c>
      <c r="H134" s="20" t="s">
        <v>831</v>
      </c>
      <c r="I134" s="1" t="s">
        <v>159</v>
      </c>
      <c r="J134" s="2"/>
      <c r="K134" s="2"/>
      <c r="L134" s="2">
        <f t="shared" si="34"/>
        <v>0</v>
      </c>
      <c r="M134" s="2">
        <f t="shared" si="67"/>
        <v>68104</v>
      </c>
      <c r="N134" s="2">
        <f t="shared" si="58"/>
        <v>68104</v>
      </c>
    </row>
    <row r="135" spans="1:14" s="15" customFormat="1" ht="14.25" customHeight="1" x14ac:dyDescent="0.25">
      <c r="A135" s="469"/>
      <c r="B135" s="469" t="s">
        <v>171</v>
      </c>
      <c r="C135" s="469"/>
      <c r="D135" s="115"/>
      <c r="E135" s="289">
        <v>851</v>
      </c>
      <c r="F135" s="20" t="s">
        <v>64</v>
      </c>
      <c r="G135" s="127" t="s">
        <v>18</v>
      </c>
      <c r="H135" s="20" t="s">
        <v>831</v>
      </c>
      <c r="I135" s="1" t="s">
        <v>172</v>
      </c>
      <c r="J135" s="2"/>
      <c r="K135" s="2"/>
      <c r="L135" s="2">
        <f t="shared" si="34"/>
        <v>0</v>
      </c>
      <c r="M135" s="2">
        <f>'6 Вед15'!M294</f>
        <v>68104</v>
      </c>
      <c r="N135" s="2">
        <f t="shared" si="58"/>
        <v>68104</v>
      </c>
    </row>
    <row r="136" spans="1:14" s="15" customFormat="1" x14ac:dyDescent="0.25">
      <c r="A136" s="259" t="s">
        <v>73</v>
      </c>
      <c r="B136" s="251"/>
      <c r="C136" s="251"/>
      <c r="E136" s="262">
        <v>851</v>
      </c>
      <c r="F136" s="22" t="s">
        <v>64</v>
      </c>
      <c r="G136" s="128" t="s">
        <v>74</v>
      </c>
      <c r="H136" s="23"/>
      <c r="I136" s="12"/>
      <c r="J136" s="14">
        <f>J137+J140+J143+J146+J149</f>
        <v>700000</v>
      </c>
      <c r="K136" s="14">
        <f t="shared" ref="K136:N136" si="68">K137+K140+K143+K146+K149</f>
        <v>943038</v>
      </c>
      <c r="L136" s="14">
        <f t="shared" si="68"/>
        <v>1643038</v>
      </c>
      <c r="M136" s="14">
        <f t="shared" si="68"/>
        <v>300</v>
      </c>
      <c r="N136" s="14">
        <f t="shared" si="68"/>
        <v>1643338</v>
      </c>
    </row>
    <row r="137" spans="1:14" s="6" customFormat="1" x14ac:dyDescent="0.25">
      <c r="A137" s="574" t="s">
        <v>779</v>
      </c>
      <c r="B137" s="575"/>
      <c r="C137" s="384"/>
      <c r="E137" s="289">
        <v>851</v>
      </c>
      <c r="F137" s="20" t="s">
        <v>64</v>
      </c>
      <c r="G137" s="20" t="s">
        <v>74</v>
      </c>
      <c r="H137" s="20" t="s">
        <v>778</v>
      </c>
      <c r="I137" s="1"/>
      <c r="J137" s="2">
        <f t="shared" ref="J137:K137" si="69">J139</f>
        <v>0</v>
      </c>
      <c r="K137" s="2">
        <f t="shared" si="69"/>
        <v>285000</v>
      </c>
      <c r="L137" s="2">
        <f t="shared" ref="L137:L139" si="70">J137+K137</f>
        <v>285000</v>
      </c>
      <c r="M137" s="2">
        <f t="shared" ref="M137" si="71">M139</f>
        <v>0</v>
      </c>
      <c r="N137" s="2">
        <f t="shared" ref="N137:N145" si="72">L137+M137</f>
        <v>285000</v>
      </c>
    </row>
    <row r="138" spans="1:14" s="15" customFormat="1" ht="13.5" customHeight="1" x14ac:dyDescent="0.25">
      <c r="A138" s="393"/>
      <c r="B138" s="384" t="s">
        <v>597</v>
      </c>
      <c r="C138" s="391"/>
      <c r="E138" s="289">
        <v>851</v>
      </c>
      <c r="F138" s="20" t="s">
        <v>64</v>
      </c>
      <c r="G138" s="20" t="s">
        <v>74</v>
      </c>
      <c r="H138" s="20" t="s">
        <v>778</v>
      </c>
      <c r="I138" s="1" t="s">
        <v>77</v>
      </c>
      <c r="J138" s="2">
        <f t="shared" ref="J138:M138" si="73">J139</f>
        <v>0</v>
      </c>
      <c r="K138" s="2">
        <f t="shared" si="73"/>
        <v>285000</v>
      </c>
      <c r="L138" s="2">
        <f t="shared" si="70"/>
        <v>285000</v>
      </c>
      <c r="M138" s="2">
        <f t="shared" si="73"/>
        <v>0</v>
      </c>
      <c r="N138" s="2">
        <f t="shared" si="72"/>
        <v>285000</v>
      </c>
    </row>
    <row r="139" spans="1:14" s="15" customFormat="1" ht="36" x14ac:dyDescent="0.25">
      <c r="A139" s="393"/>
      <c r="B139" s="384" t="s">
        <v>78</v>
      </c>
      <c r="C139" s="391"/>
      <c r="E139" s="289">
        <v>851</v>
      </c>
      <c r="F139" s="20" t="s">
        <v>64</v>
      </c>
      <c r="G139" s="20" t="s">
        <v>74</v>
      </c>
      <c r="H139" s="20" t="s">
        <v>778</v>
      </c>
      <c r="I139" s="1" t="s">
        <v>79</v>
      </c>
      <c r="J139" s="2">
        <v>0</v>
      </c>
      <c r="K139" s="2">
        <f>'6 Вед15'!K106</f>
        <v>285000</v>
      </c>
      <c r="L139" s="2">
        <f t="shared" si="70"/>
        <v>285000</v>
      </c>
      <c r="M139" s="2">
        <f>'6 Вед15'!M106</f>
        <v>0</v>
      </c>
      <c r="N139" s="2">
        <f t="shared" si="72"/>
        <v>285000</v>
      </c>
    </row>
    <row r="140" spans="1:14" s="6" customFormat="1" ht="24.75" customHeight="1" x14ac:dyDescent="0.25">
      <c r="A140" s="552" t="s">
        <v>75</v>
      </c>
      <c r="B140" s="553"/>
      <c r="C140" s="247"/>
      <c r="D140" s="247"/>
      <c r="E140" s="262">
        <v>851</v>
      </c>
      <c r="F140" s="20" t="s">
        <v>64</v>
      </c>
      <c r="G140" s="127" t="s">
        <v>74</v>
      </c>
      <c r="H140" s="91" t="s">
        <v>76</v>
      </c>
      <c r="I140" s="1"/>
      <c r="J140" s="2">
        <f t="shared" ref="J140:K140" si="74">J142</f>
        <v>700000</v>
      </c>
      <c r="K140" s="2">
        <f t="shared" si="74"/>
        <v>10570</v>
      </c>
      <c r="L140" s="80">
        <f t="shared" si="34"/>
        <v>710570</v>
      </c>
      <c r="M140" s="2">
        <f t="shared" ref="M140" si="75">M142</f>
        <v>0</v>
      </c>
      <c r="N140" s="80">
        <f t="shared" si="72"/>
        <v>710570</v>
      </c>
    </row>
    <row r="141" spans="1:14" s="6" customFormat="1" ht="23.25" customHeight="1" x14ac:dyDescent="0.25">
      <c r="A141" s="247"/>
      <c r="B141" s="247" t="s">
        <v>597</v>
      </c>
      <c r="C141" s="247"/>
      <c r="D141" s="247"/>
      <c r="E141" s="262">
        <v>851</v>
      </c>
      <c r="F141" s="20" t="s">
        <v>64</v>
      </c>
      <c r="G141" s="127" t="s">
        <v>74</v>
      </c>
      <c r="H141" s="91" t="s">
        <v>76</v>
      </c>
      <c r="I141" s="1" t="s">
        <v>77</v>
      </c>
      <c r="J141" s="2">
        <f t="shared" ref="J141:M141" si="76">J142</f>
        <v>700000</v>
      </c>
      <c r="K141" s="2">
        <f t="shared" si="76"/>
        <v>10570</v>
      </c>
      <c r="L141" s="80">
        <f t="shared" si="34"/>
        <v>710570</v>
      </c>
      <c r="M141" s="2">
        <f t="shared" si="76"/>
        <v>0</v>
      </c>
      <c r="N141" s="80">
        <f t="shared" si="72"/>
        <v>710570</v>
      </c>
    </row>
    <row r="142" spans="1:14" s="6" customFormat="1" ht="36" customHeight="1" x14ac:dyDescent="0.25">
      <c r="A142" s="17"/>
      <c r="B142" s="254" t="s">
        <v>78</v>
      </c>
      <c r="C142" s="247"/>
      <c r="D142" s="247"/>
      <c r="E142" s="262">
        <v>851</v>
      </c>
      <c r="F142" s="20" t="s">
        <v>64</v>
      </c>
      <c r="G142" s="127" t="s">
        <v>74</v>
      </c>
      <c r="H142" s="91" t="s">
        <v>76</v>
      </c>
      <c r="I142" s="1" t="s">
        <v>79</v>
      </c>
      <c r="J142" s="2">
        <f>'6 Вед15'!J109</f>
        <v>700000</v>
      </c>
      <c r="K142" s="2">
        <f>'6 Вед15'!K109</f>
        <v>10570</v>
      </c>
      <c r="L142" s="80">
        <f t="shared" si="34"/>
        <v>710570</v>
      </c>
      <c r="M142" s="2">
        <f>'6 Вед15'!M109</f>
        <v>0</v>
      </c>
      <c r="N142" s="80">
        <f t="shared" si="72"/>
        <v>710570</v>
      </c>
    </row>
    <row r="143" spans="1:14" s="6" customFormat="1" ht="12.75" customHeight="1" x14ac:dyDescent="0.25">
      <c r="A143" s="583" t="s">
        <v>763</v>
      </c>
      <c r="B143" s="583"/>
      <c r="C143" s="384"/>
      <c r="D143" s="384"/>
      <c r="E143" s="289">
        <v>851</v>
      </c>
      <c r="F143" s="20" t="s">
        <v>64</v>
      </c>
      <c r="G143" s="20" t="s">
        <v>74</v>
      </c>
      <c r="H143" s="20" t="s">
        <v>764</v>
      </c>
      <c r="I143" s="1"/>
      <c r="J143" s="2">
        <f t="shared" ref="J143:K143" si="77">J145</f>
        <v>0</v>
      </c>
      <c r="K143" s="2">
        <f t="shared" si="77"/>
        <v>15000</v>
      </c>
      <c r="L143" s="2">
        <f t="shared" si="34"/>
        <v>15000</v>
      </c>
      <c r="M143" s="2">
        <f t="shared" ref="M143" si="78">M145</f>
        <v>0</v>
      </c>
      <c r="N143" s="2">
        <f t="shared" si="72"/>
        <v>15000</v>
      </c>
    </row>
    <row r="144" spans="1:14" s="6" customFormat="1" ht="13.5" customHeight="1" x14ac:dyDescent="0.25">
      <c r="A144" s="384"/>
      <c r="B144" s="384" t="s">
        <v>597</v>
      </c>
      <c r="C144" s="384"/>
      <c r="D144" s="384"/>
      <c r="E144" s="289">
        <v>851</v>
      </c>
      <c r="F144" s="20" t="s">
        <v>64</v>
      </c>
      <c r="G144" s="20" t="s">
        <v>74</v>
      </c>
      <c r="H144" s="20" t="s">
        <v>764</v>
      </c>
      <c r="I144" s="1" t="s">
        <v>77</v>
      </c>
      <c r="J144" s="2">
        <f t="shared" ref="J144:M144" si="79">J145</f>
        <v>0</v>
      </c>
      <c r="K144" s="2">
        <f t="shared" si="79"/>
        <v>15000</v>
      </c>
      <c r="L144" s="2">
        <f t="shared" si="34"/>
        <v>15000</v>
      </c>
      <c r="M144" s="2">
        <f t="shared" si="79"/>
        <v>0</v>
      </c>
      <c r="N144" s="2">
        <f t="shared" si="72"/>
        <v>15000</v>
      </c>
    </row>
    <row r="145" spans="1:14" s="6" customFormat="1" ht="25.5" customHeight="1" x14ac:dyDescent="0.25">
      <c r="A145" s="17"/>
      <c r="B145" s="384" t="s">
        <v>78</v>
      </c>
      <c r="C145" s="384"/>
      <c r="D145" s="384"/>
      <c r="E145" s="289">
        <v>851</v>
      </c>
      <c r="F145" s="20" t="s">
        <v>64</v>
      </c>
      <c r="G145" s="20" t="s">
        <v>74</v>
      </c>
      <c r="H145" s="20" t="s">
        <v>764</v>
      </c>
      <c r="I145" s="1" t="s">
        <v>79</v>
      </c>
      <c r="J145" s="2">
        <v>0</v>
      </c>
      <c r="K145" s="2">
        <f>'6 Вед15'!K112</f>
        <v>15000</v>
      </c>
      <c r="L145" s="2">
        <f t="shared" si="34"/>
        <v>15000</v>
      </c>
      <c r="M145" s="2">
        <f>'6 Вед15'!M112</f>
        <v>0</v>
      </c>
      <c r="N145" s="2">
        <f t="shared" si="72"/>
        <v>15000</v>
      </c>
    </row>
    <row r="146" spans="1:14" s="6" customFormat="1" ht="16.5" customHeight="1" x14ac:dyDescent="0.25">
      <c r="A146" s="574" t="s">
        <v>782</v>
      </c>
      <c r="B146" s="575"/>
      <c r="C146" s="398"/>
      <c r="D146" s="398"/>
      <c r="E146" s="289">
        <v>851</v>
      </c>
      <c r="F146" s="20" t="s">
        <v>64</v>
      </c>
      <c r="G146" s="20" t="s">
        <v>74</v>
      </c>
      <c r="H146" s="20" t="s">
        <v>796</v>
      </c>
      <c r="I146" s="1"/>
      <c r="J146" s="2">
        <f>J147</f>
        <v>0</v>
      </c>
      <c r="K146" s="2">
        <f t="shared" ref="K146:N146" si="80">K147</f>
        <v>632468</v>
      </c>
      <c r="L146" s="2">
        <f t="shared" si="80"/>
        <v>632468</v>
      </c>
      <c r="M146" s="2">
        <f t="shared" si="80"/>
        <v>0</v>
      </c>
      <c r="N146" s="2">
        <f t="shared" si="80"/>
        <v>632468</v>
      </c>
    </row>
    <row r="147" spans="1:14" s="15" customFormat="1" ht="15" customHeight="1" x14ac:dyDescent="0.25">
      <c r="A147" s="398"/>
      <c r="B147" s="404" t="s">
        <v>28</v>
      </c>
      <c r="C147" s="398"/>
      <c r="D147" s="398"/>
      <c r="E147" s="289">
        <v>851</v>
      </c>
      <c r="F147" s="20" t="s">
        <v>64</v>
      </c>
      <c r="G147" s="127" t="s">
        <v>74</v>
      </c>
      <c r="H147" s="20" t="s">
        <v>796</v>
      </c>
      <c r="I147" s="1" t="s">
        <v>29</v>
      </c>
      <c r="J147" s="2">
        <f t="shared" ref="J147:M147" si="81">J148</f>
        <v>0</v>
      </c>
      <c r="K147" s="2">
        <f t="shared" si="81"/>
        <v>632468</v>
      </c>
      <c r="L147" s="2">
        <f t="shared" ref="L147:L148" si="82">J147+K147</f>
        <v>632468</v>
      </c>
      <c r="M147" s="2">
        <f t="shared" si="81"/>
        <v>0</v>
      </c>
      <c r="N147" s="2">
        <f t="shared" ref="N147:N148" si="83">L147+M147</f>
        <v>632468</v>
      </c>
    </row>
    <row r="148" spans="1:14" s="15" customFormat="1" ht="26.25" customHeight="1" x14ac:dyDescent="0.25">
      <c r="A148" s="398"/>
      <c r="B148" s="404" t="s">
        <v>30</v>
      </c>
      <c r="C148" s="398"/>
      <c r="D148" s="398"/>
      <c r="E148" s="289">
        <v>851</v>
      </c>
      <c r="F148" s="20" t="s">
        <v>64</v>
      </c>
      <c r="G148" s="127" t="s">
        <v>74</v>
      </c>
      <c r="H148" s="20" t="s">
        <v>796</v>
      </c>
      <c r="I148" s="1" t="s">
        <v>31</v>
      </c>
      <c r="J148" s="2">
        <v>0</v>
      </c>
      <c r="K148" s="2">
        <f>'6 Вед15'!K115</f>
        <v>632468</v>
      </c>
      <c r="L148" s="2">
        <f t="shared" si="82"/>
        <v>632468</v>
      </c>
      <c r="M148" s="2">
        <f>'6 Вед15'!M115</f>
        <v>0</v>
      </c>
      <c r="N148" s="2">
        <f t="shared" si="83"/>
        <v>632468</v>
      </c>
    </row>
    <row r="149" spans="1:14" s="15" customFormat="1" ht="50.25" customHeight="1" x14ac:dyDescent="0.25">
      <c r="A149" s="552" t="s">
        <v>835</v>
      </c>
      <c r="B149" s="553"/>
      <c r="C149" s="469"/>
      <c r="D149" s="469"/>
      <c r="E149" s="289">
        <v>851</v>
      </c>
      <c r="F149" s="20" t="s">
        <v>64</v>
      </c>
      <c r="G149" s="20" t="s">
        <v>74</v>
      </c>
      <c r="H149" s="20" t="s">
        <v>834</v>
      </c>
      <c r="I149" s="1"/>
      <c r="J149" s="2"/>
      <c r="K149" s="2"/>
      <c r="L149" s="2">
        <f t="shared" ref="L149:N150" si="84">L150</f>
        <v>0</v>
      </c>
      <c r="M149" s="2">
        <f t="shared" si="84"/>
        <v>300</v>
      </c>
      <c r="N149" s="2">
        <f t="shared" si="84"/>
        <v>300</v>
      </c>
    </row>
    <row r="150" spans="1:14" s="15" customFormat="1" ht="14.25" customHeight="1" x14ac:dyDescent="0.25">
      <c r="A150" s="469"/>
      <c r="B150" s="470" t="s">
        <v>158</v>
      </c>
      <c r="C150" s="469"/>
      <c r="D150" s="469"/>
      <c r="E150" s="289">
        <v>851</v>
      </c>
      <c r="F150" s="20" t="s">
        <v>64</v>
      </c>
      <c r="G150" s="127" t="s">
        <v>74</v>
      </c>
      <c r="H150" s="20" t="s">
        <v>834</v>
      </c>
      <c r="I150" s="1" t="s">
        <v>159</v>
      </c>
      <c r="J150" s="2"/>
      <c r="K150" s="2"/>
      <c r="L150" s="2">
        <f t="shared" ref="L150:L151" si="85">J150+K150</f>
        <v>0</v>
      </c>
      <c r="M150" s="2">
        <f t="shared" si="84"/>
        <v>300</v>
      </c>
      <c r="N150" s="2">
        <f t="shared" ref="N150:N151" si="86">L150+M150</f>
        <v>300</v>
      </c>
    </row>
    <row r="151" spans="1:14" s="15" customFormat="1" ht="14.25" customHeight="1" x14ac:dyDescent="0.25">
      <c r="A151" s="469"/>
      <c r="B151" s="469" t="s">
        <v>171</v>
      </c>
      <c r="C151" s="469"/>
      <c r="D151" s="469"/>
      <c r="E151" s="289">
        <v>851</v>
      </c>
      <c r="F151" s="20" t="s">
        <v>64</v>
      </c>
      <c r="G151" s="127" t="s">
        <v>74</v>
      </c>
      <c r="H151" s="20" t="s">
        <v>834</v>
      </c>
      <c r="I151" s="1" t="s">
        <v>172</v>
      </c>
      <c r="J151" s="2"/>
      <c r="K151" s="2"/>
      <c r="L151" s="2">
        <f t="shared" si="85"/>
        <v>0</v>
      </c>
      <c r="M151" s="2">
        <f>'6 Вед15'!M298</f>
        <v>300</v>
      </c>
      <c r="N151" s="2">
        <f t="shared" si="86"/>
        <v>300</v>
      </c>
    </row>
    <row r="152" spans="1:14" s="11" customFormat="1" ht="12" customHeight="1" x14ac:dyDescent="0.25">
      <c r="A152" s="554" t="s">
        <v>80</v>
      </c>
      <c r="B152" s="555"/>
      <c r="C152" s="258"/>
      <c r="D152" s="258"/>
      <c r="E152" s="262">
        <v>852</v>
      </c>
      <c r="F152" s="7" t="s">
        <v>37</v>
      </c>
      <c r="G152" s="124"/>
      <c r="H152" s="8"/>
      <c r="I152" s="7"/>
      <c r="J152" s="9">
        <f>J153+J166+J195+J199</f>
        <v>147928123</v>
      </c>
      <c r="K152" s="9">
        <f t="shared" ref="K152:L152" si="87">K153+K166+K195+K199</f>
        <v>4842980</v>
      </c>
      <c r="L152" s="9">
        <f t="shared" si="87"/>
        <v>152771103</v>
      </c>
      <c r="M152" s="9">
        <f t="shared" ref="M152:N152" si="88">M153+M166+M195+M199</f>
        <v>-75354</v>
      </c>
      <c r="N152" s="9">
        <f t="shared" si="88"/>
        <v>152695749</v>
      </c>
    </row>
    <row r="153" spans="1:14" s="15" customFormat="1" ht="12" customHeight="1" x14ac:dyDescent="0.25">
      <c r="A153" s="550" t="s">
        <v>81</v>
      </c>
      <c r="B153" s="551"/>
      <c r="C153" s="313"/>
      <c r="D153" s="313"/>
      <c r="E153" s="289"/>
      <c r="F153" s="12" t="s">
        <v>37</v>
      </c>
      <c r="G153" s="125" t="s">
        <v>18</v>
      </c>
      <c r="H153" s="13"/>
      <c r="I153" s="12"/>
      <c r="J153" s="14">
        <f>J154+J157+J160+J163</f>
        <v>33975927</v>
      </c>
      <c r="K153" s="14">
        <f t="shared" ref="K153:L153" si="89">K154+K157+K160+K163</f>
        <v>0</v>
      </c>
      <c r="L153" s="14">
        <f t="shared" si="89"/>
        <v>33975927</v>
      </c>
      <c r="M153" s="14">
        <f t="shared" ref="M153:N153" si="90">M154+M157+M160+M163</f>
        <v>0</v>
      </c>
      <c r="N153" s="14">
        <f t="shared" si="90"/>
        <v>33975927</v>
      </c>
    </row>
    <row r="154" spans="1:14" s="26" customFormat="1" ht="12" customHeight="1" x14ac:dyDescent="0.25">
      <c r="A154" s="581" t="s">
        <v>126</v>
      </c>
      <c r="B154" s="582"/>
      <c r="C154" s="312"/>
      <c r="D154" s="311"/>
      <c r="E154" s="289">
        <v>852</v>
      </c>
      <c r="F154" s="20" t="s">
        <v>37</v>
      </c>
      <c r="G154" s="127" t="s">
        <v>18</v>
      </c>
      <c r="H154" s="20" t="s">
        <v>127</v>
      </c>
      <c r="I154" s="20"/>
      <c r="J154" s="24">
        <f>J155</f>
        <v>11495900</v>
      </c>
      <c r="K154" s="24">
        <f>K155</f>
        <v>0</v>
      </c>
      <c r="L154" s="80">
        <f t="shared" si="34"/>
        <v>11495900</v>
      </c>
      <c r="M154" s="24">
        <f>M155</f>
        <v>0</v>
      </c>
      <c r="N154" s="80">
        <f t="shared" ref="N154:N165" si="91">L154+M154</f>
        <v>11495900</v>
      </c>
    </row>
    <row r="155" spans="1:14" s="26" customFormat="1" ht="36" x14ac:dyDescent="0.25">
      <c r="A155" s="314"/>
      <c r="B155" s="314" t="s">
        <v>95</v>
      </c>
      <c r="C155" s="312"/>
      <c r="D155" s="312"/>
      <c r="E155" s="289">
        <v>852</v>
      </c>
      <c r="F155" s="20" t="s">
        <v>37</v>
      </c>
      <c r="G155" s="127" t="s">
        <v>18</v>
      </c>
      <c r="H155" s="20" t="s">
        <v>127</v>
      </c>
      <c r="I155" s="20" t="s">
        <v>90</v>
      </c>
      <c r="J155" s="24">
        <f t="shared" ref="J155:M155" si="92">J156</f>
        <v>11495900</v>
      </c>
      <c r="K155" s="24">
        <f t="shared" si="92"/>
        <v>0</v>
      </c>
      <c r="L155" s="80">
        <f t="shared" si="34"/>
        <v>11495900</v>
      </c>
      <c r="M155" s="24">
        <f t="shared" si="92"/>
        <v>0</v>
      </c>
      <c r="N155" s="80">
        <f t="shared" si="91"/>
        <v>11495900</v>
      </c>
    </row>
    <row r="156" spans="1:14" s="6" customFormat="1" ht="51" customHeight="1" x14ac:dyDescent="0.25">
      <c r="A156" s="254"/>
      <c r="B156" s="254" t="s">
        <v>91</v>
      </c>
      <c r="C156" s="247"/>
      <c r="D156" s="247"/>
      <c r="E156" s="262">
        <v>852</v>
      </c>
      <c r="F156" s="1" t="s">
        <v>37</v>
      </c>
      <c r="G156" s="126" t="s">
        <v>18</v>
      </c>
      <c r="H156" s="20" t="s">
        <v>127</v>
      </c>
      <c r="I156" s="1" t="s">
        <v>92</v>
      </c>
      <c r="J156" s="2">
        <f>'6 Вед15'!J185</f>
        <v>11495900</v>
      </c>
      <c r="K156" s="2">
        <f>'6 Вед15'!K185</f>
        <v>0</v>
      </c>
      <c r="L156" s="80">
        <f t="shared" si="34"/>
        <v>11495900</v>
      </c>
      <c r="M156" s="2">
        <f>'6 Вед15'!M185</f>
        <v>0</v>
      </c>
      <c r="N156" s="80">
        <f t="shared" si="91"/>
        <v>11495900</v>
      </c>
    </row>
    <row r="157" spans="1:14" s="15" customFormat="1" ht="26.25" customHeight="1" x14ac:dyDescent="0.25">
      <c r="A157" s="556" t="s">
        <v>844</v>
      </c>
      <c r="B157" s="557"/>
      <c r="C157" s="251"/>
      <c r="D157" s="251"/>
      <c r="E157" s="262">
        <v>852</v>
      </c>
      <c r="F157" s="1" t="s">
        <v>37</v>
      </c>
      <c r="G157" s="126" t="s">
        <v>18</v>
      </c>
      <c r="H157" s="1" t="s">
        <v>123</v>
      </c>
      <c r="I157" s="1"/>
      <c r="J157" s="2">
        <f t="shared" ref="J157:M158" si="93">J158</f>
        <v>21495027</v>
      </c>
      <c r="K157" s="2">
        <f t="shared" si="93"/>
        <v>0</v>
      </c>
      <c r="L157" s="80">
        <f t="shared" si="34"/>
        <v>21495027</v>
      </c>
      <c r="M157" s="2">
        <f t="shared" si="93"/>
        <v>0</v>
      </c>
      <c r="N157" s="80">
        <f t="shared" si="91"/>
        <v>21495027</v>
      </c>
    </row>
    <row r="158" spans="1:14" s="15" customFormat="1" ht="36" x14ac:dyDescent="0.25">
      <c r="A158" s="251"/>
      <c r="B158" s="254" t="s">
        <v>95</v>
      </c>
      <c r="C158" s="251"/>
      <c r="D158" s="251"/>
      <c r="E158" s="262">
        <v>852</v>
      </c>
      <c r="F158" s="1" t="s">
        <v>37</v>
      </c>
      <c r="G158" s="126" t="s">
        <v>18</v>
      </c>
      <c r="H158" s="1" t="s">
        <v>123</v>
      </c>
      <c r="I158" s="1" t="s">
        <v>90</v>
      </c>
      <c r="J158" s="2">
        <f t="shared" si="93"/>
        <v>21495027</v>
      </c>
      <c r="K158" s="2">
        <f t="shared" si="93"/>
        <v>0</v>
      </c>
      <c r="L158" s="80">
        <f t="shared" si="34"/>
        <v>21495027</v>
      </c>
      <c r="M158" s="2">
        <f t="shared" si="93"/>
        <v>0</v>
      </c>
      <c r="N158" s="80">
        <f t="shared" si="91"/>
        <v>21495027</v>
      </c>
    </row>
    <row r="159" spans="1:14" s="15" customFormat="1" ht="50.25" customHeight="1" x14ac:dyDescent="0.25">
      <c r="A159" s="251"/>
      <c r="B159" s="254" t="s">
        <v>91</v>
      </c>
      <c r="C159" s="251"/>
      <c r="D159" s="251"/>
      <c r="E159" s="262">
        <v>852</v>
      </c>
      <c r="F159" s="1" t="s">
        <v>37</v>
      </c>
      <c r="G159" s="126" t="s">
        <v>18</v>
      </c>
      <c r="H159" s="1" t="s">
        <v>123</v>
      </c>
      <c r="I159" s="1" t="s">
        <v>92</v>
      </c>
      <c r="J159" s="2">
        <f>'6 Вед15'!J188</f>
        <v>21495027</v>
      </c>
      <c r="K159" s="2">
        <f>'6 Вед15'!K188</f>
        <v>0</v>
      </c>
      <c r="L159" s="80">
        <f t="shared" ref="L159:L228" si="94">J159+K159</f>
        <v>21495027</v>
      </c>
      <c r="M159" s="2">
        <f>'6 Вед15'!M188</f>
        <v>0</v>
      </c>
      <c r="N159" s="80">
        <f t="shared" si="91"/>
        <v>21495027</v>
      </c>
    </row>
    <row r="160" spans="1:14" s="15" customFormat="1" ht="48.75" customHeight="1" x14ac:dyDescent="0.25">
      <c r="A160" s="556" t="s">
        <v>124</v>
      </c>
      <c r="B160" s="557"/>
      <c r="C160" s="251"/>
      <c r="D160" s="251"/>
      <c r="E160" s="262">
        <v>852</v>
      </c>
      <c r="F160" s="1" t="s">
        <v>37</v>
      </c>
      <c r="G160" s="126" t="s">
        <v>18</v>
      </c>
      <c r="H160" s="1" t="s">
        <v>125</v>
      </c>
      <c r="I160" s="1"/>
      <c r="J160" s="2">
        <f t="shared" ref="J160:M161" si="95">J161</f>
        <v>624000</v>
      </c>
      <c r="K160" s="2">
        <f t="shared" si="95"/>
        <v>0</v>
      </c>
      <c r="L160" s="80">
        <f t="shared" si="94"/>
        <v>624000</v>
      </c>
      <c r="M160" s="2">
        <f t="shared" si="95"/>
        <v>0</v>
      </c>
      <c r="N160" s="80">
        <f t="shared" si="91"/>
        <v>624000</v>
      </c>
    </row>
    <row r="161" spans="1:14" s="15" customFormat="1" ht="36" x14ac:dyDescent="0.25">
      <c r="A161" s="251"/>
      <c r="B161" s="254" t="s">
        <v>95</v>
      </c>
      <c r="C161" s="251"/>
      <c r="D161" s="251"/>
      <c r="E161" s="262">
        <v>852</v>
      </c>
      <c r="F161" s="1" t="s">
        <v>37</v>
      </c>
      <c r="G161" s="126" t="s">
        <v>18</v>
      </c>
      <c r="H161" s="1" t="s">
        <v>125</v>
      </c>
      <c r="I161" s="1" t="s">
        <v>90</v>
      </c>
      <c r="J161" s="2">
        <f t="shared" si="95"/>
        <v>624000</v>
      </c>
      <c r="K161" s="2">
        <f t="shared" si="95"/>
        <v>0</v>
      </c>
      <c r="L161" s="80">
        <f t="shared" si="94"/>
        <v>624000</v>
      </c>
      <c r="M161" s="2">
        <f t="shared" si="95"/>
        <v>0</v>
      </c>
      <c r="N161" s="80">
        <f t="shared" si="91"/>
        <v>624000</v>
      </c>
    </row>
    <row r="162" spans="1:14" s="15" customFormat="1" ht="50.25" customHeight="1" x14ac:dyDescent="0.25">
      <c r="A162" s="251"/>
      <c r="B162" s="254" t="s">
        <v>91</v>
      </c>
      <c r="C162" s="251"/>
      <c r="D162" s="251"/>
      <c r="E162" s="262">
        <v>852</v>
      </c>
      <c r="F162" s="1" t="s">
        <v>37</v>
      </c>
      <c r="G162" s="126" t="s">
        <v>18</v>
      </c>
      <c r="H162" s="1" t="s">
        <v>125</v>
      </c>
      <c r="I162" s="1" t="s">
        <v>92</v>
      </c>
      <c r="J162" s="2">
        <f>'6 Вед15'!J191</f>
        <v>624000</v>
      </c>
      <c r="K162" s="2">
        <f>'6 Вед15'!K191</f>
        <v>0</v>
      </c>
      <c r="L162" s="80">
        <f t="shared" si="94"/>
        <v>624000</v>
      </c>
      <c r="M162" s="2">
        <f>'6 Вед15'!M191</f>
        <v>0</v>
      </c>
      <c r="N162" s="80">
        <f t="shared" si="91"/>
        <v>624000</v>
      </c>
    </row>
    <row r="163" spans="1:14" s="6" customFormat="1" ht="24.75" customHeight="1" x14ac:dyDescent="0.25">
      <c r="A163" s="552" t="s">
        <v>132</v>
      </c>
      <c r="B163" s="553"/>
      <c r="C163" s="247"/>
      <c r="D163" s="247"/>
      <c r="E163" s="262">
        <v>852</v>
      </c>
      <c r="F163" s="20" t="s">
        <v>37</v>
      </c>
      <c r="G163" s="127" t="s">
        <v>18</v>
      </c>
      <c r="H163" s="20" t="s">
        <v>133</v>
      </c>
      <c r="I163" s="1"/>
      <c r="J163" s="2">
        <f>'6 Вед15'!J192</f>
        <v>361000</v>
      </c>
      <c r="K163" s="2">
        <f>'6 Вед15'!K192</f>
        <v>0</v>
      </c>
      <c r="L163" s="80">
        <f t="shared" si="94"/>
        <v>361000</v>
      </c>
      <c r="M163" s="2">
        <f>'6 Вед15'!M192</f>
        <v>0</v>
      </c>
      <c r="N163" s="80">
        <f t="shared" si="91"/>
        <v>361000</v>
      </c>
    </row>
    <row r="164" spans="1:14" s="6" customFormat="1" ht="24.75" customHeight="1" x14ac:dyDescent="0.25">
      <c r="A164" s="247"/>
      <c r="B164" s="247" t="s">
        <v>134</v>
      </c>
      <c r="C164" s="247"/>
      <c r="D164" s="247"/>
      <c r="E164" s="262">
        <v>852</v>
      </c>
      <c r="F164" s="1" t="s">
        <v>37</v>
      </c>
      <c r="G164" s="126" t="s">
        <v>18</v>
      </c>
      <c r="H164" s="20" t="s">
        <v>133</v>
      </c>
      <c r="I164" s="1" t="s">
        <v>90</v>
      </c>
      <c r="J164" s="2">
        <f>'6 Вед15'!J193</f>
        <v>361000</v>
      </c>
      <c r="K164" s="2">
        <f>'6 Вед15'!K193</f>
        <v>0</v>
      </c>
      <c r="L164" s="80">
        <f t="shared" si="94"/>
        <v>361000</v>
      </c>
      <c r="M164" s="2">
        <f>'6 Вед15'!M193</f>
        <v>0</v>
      </c>
      <c r="N164" s="80">
        <f t="shared" si="91"/>
        <v>361000</v>
      </c>
    </row>
    <row r="165" spans="1:14" s="6" customFormat="1" ht="15" customHeight="1" x14ac:dyDescent="0.25">
      <c r="A165" s="246"/>
      <c r="B165" s="246" t="s">
        <v>130</v>
      </c>
      <c r="C165" s="246"/>
      <c r="D165" s="246"/>
      <c r="E165" s="262">
        <v>852</v>
      </c>
      <c r="F165" s="1" t="s">
        <v>37</v>
      </c>
      <c r="G165" s="126" t="s">
        <v>18</v>
      </c>
      <c r="H165" s="20" t="s">
        <v>133</v>
      </c>
      <c r="I165" s="1" t="s">
        <v>131</v>
      </c>
      <c r="J165" s="2">
        <f>'6 Вед15'!J194</f>
        <v>361000</v>
      </c>
      <c r="K165" s="2">
        <f>'6 Вед15'!K194</f>
        <v>0</v>
      </c>
      <c r="L165" s="80">
        <f t="shared" si="94"/>
        <v>361000</v>
      </c>
      <c r="M165" s="2">
        <f>'6 Вед15'!M194</f>
        <v>0</v>
      </c>
      <c r="N165" s="80">
        <f t="shared" si="91"/>
        <v>361000</v>
      </c>
    </row>
    <row r="166" spans="1:14" s="15" customFormat="1" ht="12" customHeight="1" x14ac:dyDescent="0.25">
      <c r="A166" s="550" t="s">
        <v>84</v>
      </c>
      <c r="B166" s="551"/>
      <c r="C166" s="251"/>
      <c r="D166" s="251"/>
      <c r="E166" s="262">
        <v>852</v>
      </c>
      <c r="F166" s="12" t="s">
        <v>37</v>
      </c>
      <c r="G166" s="125" t="s">
        <v>74</v>
      </c>
      <c r="H166" s="13"/>
      <c r="I166" s="12"/>
      <c r="J166" s="14">
        <f>J176+J182+J167+J170+J173+J179+J185+J192</f>
        <v>101762636</v>
      </c>
      <c r="K166" s="14">
        <f t="shared" ref="K166:L166" si="96">K176+K182+K167+K170+K173+K179+K185+K192</f>
        <v>4842980</v>
      </c>
      <c r="L166" s="14">
        <f t="shared" si="96"/>
        <v>106605616</v>
      </c>
      <c r="M166" s="14">
        <f t="shared" ref="M166:N166" si="97">M176+M182+M167+M170+M173+M179+M185+M192</f>
        <v>-132668</v>
      </c>
      <c r="N166" s="14">
        <f t="shared" si="97"/>
        <v>106472948</v>
      </c>
    </row>
    <row r="167" spans="1:14" s="6" customFormat="1" ht="12" customHeight="1" x14ac:dyDescent="0.25">
      <c r="A167" s="552" t="s">
        <v>135</v>
      </c>
      <c r="B167" s="553"/>
      <c r="C167" s="247"/>
      <c r="D167" s="247"/>
      <c r="E167" s="262">
        <v>852</v>
      </c>
      <c r="F167" s="1" t="s">
        <v>37</v>
      </c>
      <c r="G167" s="126" t="s">
        <v>74</v>
      </c>
      <c r="H167" s="1" t="s">
        <v>136</v>
      </c>
      <c r="I167" s="1"/>
      <c r="J167" s="2">
        <f t="shared" ref="J167:M168" si="98">J168</f>
        <v>13985000</v>
      </c>
      <c r="K167" s="2">
        <f t="shared" si="98"/>
        <v>0</v>
      </c>
      <c r="L167" s="80">
        <f t="shared" si="94"/>
        <v>13985000</v>
      </c>
      <c r="M167" s="2">
        <f t="shared" si="98"/>
        <v>-49248</v>
      </c>
      <c r="N167" s="80">
        <f t="shared" ref="N167:N172" si="99">L167+M167</f>
        <v>13935752</v>
      </c>
    </row>
    <row r="168" spans="1:14" s="6" customFormat="1" ht="36" x14ac:dyDescent="0.25">
      <c r="A168" s="247"/>
      <c r="B168" s="254" t="s">
        <v>95</v>
      </c>
      <c r="C168" s="247"/>
      <c r="D168" s="247"/>
      <c r="E168" s="262">
        <v>852</v>
      </c>
      <c r="F168" s="1" t="s">
        <v>37</v>
      </c>
      <c r="G168" s="127" t="s">
        <v>74</v>
      </c>
      <c r="H168" s="1" t="s">
        <v>136</v>
      </c>
      <c r="I168" s="1" t="s">
        <v>90</v>
      </c>
      <c r="J168" s="2">
        <f t="shared" si="98"/>
        <v>13985000</v>
      </c>
      <c r="K168" s="2">
        <f t="shared" si="98"/>
        <v>0</v>
      </c>
      <c r="L168" s="80">
        <f t="shared" si="94"/>
        <v>13985000</v>
      </c>
      <c r="M168" s="2">
        <f t="shared" si="98"/>
        <v>-49248</v>
      </c>
      <c r="N168" s="80">
        <f t="shared" si="99"/>
        <v>13935752</v>
      </c>
    </row>
    <row r="169" spans="1:14" s="6" customFormat="1" ht="49.5" customHeight="1" x14ac:dyDescent="0.25">
      <c r="A169" s="247"/>
      <c r="B169" s="254" t="s">
        <v>91</v>
      </c>
      <c r="C169" s="247"/>
      <c r="D169" s="247"/>
      <c r="E169" s="262">
        <v>852</v>
      </c>
      <c r="F169" s="1" t="s">
        <v>37</v>
      </c>
      <c r="G169" s="127" t="s">
        <v>74</v>
      </c>
      <c r="H169" s="1" t="s">
        <v>136</v>
      </c>
      <c r="I169" s="1" t="s">
        <v>92</v>
      </c>
      <c r="J169" s="2">
        <f>'6 Вед15'!J198</f>
        <v>13985000</v>
      </c>
      <c r="K169" s="2">
        <f>'6 Вед15'!K198</f>
        <v>0</v>
      </c>
      <c r="L169" s="80">
        <f t="shared" si="94"/>
        <v>13985000</v>
      </c>
      <c r="M169" s="2">
        <f>'6 Вед15'!M198</f>
        <v>-49248</v>
      </c>
      <c r="N169" s="80">
        <f t="shared" si="99"/>
        <v>13935752</v>
      </c>
    </row>
    <row r="170" spans="1:14" s="6" customFormat="1" ht="12" customHeight="1" x14ac:dyDescent="0.25">
      <c r="A170" s="552" t="s">
        <v>137</v>
      </c>
      <c r="B170" s="553"/>
      <c r="C170" s="247"/>
      <c r="D170" s="247"/>
      <c r="E170" s="262">
        <v>852</v>
      </c>
      <c r="F170" s="20" t="s">
        <v>37</v>
      </c>
      <c r="G170" s="127" t="s">
        <v>74</v>
      </c>
      <c r="H170" s="20" t="s">
        <v>138</v>
      </c>
      <c r="I170" s="1"/>
      <c r="J170" s="2">
        <f t="shared" ref="J170:M171" si="100">J171</f>
        <v>8331600</v>
      </c>
      <c r="K170" s="2">
        <f t="shared" si="100"/>
        <v>0</v>
      </c>
      <c r="L170" s="80">
        <f t="shared" si="94"/>
        <v>8331600</v>
      </c>
      <c r="M170" s="2">
        <f t="shared" si="100"/>
        <v>0</v>
      </c>
      <c r="N170" s="80">
        <f t="shared" si="99"/>
        <v>8331600</v>
      </c>
    </row>
    <row r="171" spans="1:14" s="6" customFormat="1" ht="36" x14ac:dyDescent="0.25">
      <c r="A171" s="247"/>
      <c r="B171" s="254" t="s">
        <v>95</v>
      </c>
      <c r="C171" s="247"/>
      <c r="D171" s="247"/>
      <c r="E171" s="262">
        <v>852</v>
      </c>
      <c r="F171" s="1" t="s">
        <v>37</v>
      </c>
      <c r="G171" s="127" t="s">
        <v>74</v>
      </c>
      <c r="H171" s="20" t="s">
        <v>138</v>
      </c>
      <c r="I171" s="1" t="s">
        <v>90</v>
      </c>
      <c r="J171" s="2">
        <f t="shared" si="100"/>
        <v>8331600</v>
      </c>
      <c r="K171" s="2">
        <f t="shared" si="100"/>
        <v>0</v>
      </c>
      <c r="L171" s="80">
        <f t="shared" si="94"/>
        <v>8331600</v>
      </c>
      <c r="M171" s="2">
        <f t="shared" si="100"/>
        <v>0</v>
      </c>
      <c r="N171" s="80">
        <f t="shared" si="99"/>
        <v>8331600</v>
      </c>
    </row>
    <row r="172" spans="1:14" s="6" customFormat="1" ht="51" customHeight="1" x14ac:dyDescent="0.25">
      <c r="A172" s="247"/>
      <c r="B172" s="254" t="s">
        <v>91</v>
      </c>
      <c r="C172" s="247"/>
      <c r="D172" s="247"/>
      <c r="E172" s="262">
        <v>852</v>
      </c>
      <c r="F172" s="1" t="s">
        <v>37</v>
      </c>
      <c r="G172" s="127" t="s">
        <v>74</v>
      </c>
      <c r="H172" s="20" t="s">
        <v>138</v>
      </c>
      <c r="I172" s="1" t="s">
        <v>92</v>
      </c>
      <c r="J172" s="2">
        <f>'6 Вед15'!J201</f>
        <v>8331600</v>
      </c>
      <c r="K172" s="2">
        <f>'6 Вед15'!K201</f>
        <v>0</v>
      </c>
      <c r="L172" s="80">
        <f t="shared" si="94"/>
        <v>8331600</v>
      </c>
      <c r="M172" s="2">
        <f>'6 Вед15'!M201</f>
        <v>0</v>
      </c>
      <c r="N172" s="80">
        <f t="shared" si="99"/>
        <v>8331600</v>
      </c>
    </row>
    <row r="173" spans="1:14" s="15" customFormat="1" ht="13.5" customHeight="1" x14ac:dyDescent="0.25">
      <c r="A173" s="574" t="s">
        <v>779</v>
      </c>
      <c r="B173" s="575"/>
      <c r="C173" s="402"/>
      <c r="D173" s="402"/>
      <c r="E173" s="289">
        <v>851</v>
      </c>
      <c r="F173" s="1" t="s">
        <v>37</v>
      </c>
      <c r="G173" s="20" t="s">
        <v>74</v>
      </c>
      <c r="H173" s="1" t="s">
        <v>778</v>
      </c>
      <c r="I173" s="12"/>
      <c r="J173" s="2">
        <f>J174</f>
        <v>0</v>
      </c>
      <c r="K173" s="2">
        <f t="shared" ref="K173:N173" si="101">K174</f>
        <v>4517500</v>
      </c>
      <c r="L173" s="2">
        <f t="shared" si="101"/>
        <v>4517500</v>
      </c>
      <c r="M173" s="2">
        <f t="shared" si="101"/>
        <v>0</v>
      </c>
      <c r="N173" s="2">
        <f t="shared" si="101"/>
        <v>4517500</v>
      </c>
    </row>
    <row r="174" spans="1:14" s="15" customFormat="1" ht="13.5" customHeight="1" x14ac:dyDescent="0.25">
      <c r="A174" s="405"/>
      <c r="B174" s="398" t="s">
        <v>597</v>
      </c>
      <c r="C174" s="402"/>
      <c r="D174" s="402"/>
      <c r="E174" s="289">
        <v>851</v>
      </c>
      <c r="F174" s="1" t="s">
        <v>37</v>
      </c>
      <c r="G174" s="20" t="s">
        <v>74</v>
      </c>
      <c r="H174" s="1" t="s">
        <v>778</v>
      </c>
      <c r="I174" s="1" t="s">
        <v>77</v>
      </c>
      <c r="J174" s="2">
        <f t="shared" ref="J174:M174" si="102">J175</f>
        <v>0</v>
      </c>
      <c r="K174" s="2">
        <f t="shared" si="102"/>
        <v>4517500</v>
      </c>
      <c r="L174" s="2">
        <f t="shared" ref="L174:L175" si="103">J174+K174</f>
        <v>4517500</v>
      </c>
      <c r="M174" s="2">
        <f t="shared" si="102"/>
        <v>0</v>
      </c>
      <c r="N174" s="2">
        <f t="shared" ref="N174:N180" si="104">L174+M174</f>
        <v>4517500</v>
      </c>
    </row>
    <row r="175" spans="1:14" s="15" customFormat="1" ht="36" x14ac:dyDescent="0.25">
      <c r="A175" s="405"/>
      <c r="B175" s="398" t="s">
        <v>78</v>
      </c>
      <c r="C175" s="402"/>
      <c r="D175" s="402"/>
      <c r="E175" s="289">
        <v>851</v>
      </c>
      <c r="F175" s="1" t="s">
        <v>37</v>
      </c>
      <c r="G175" s="20" t="s">
        <v>74</v>
      </c>
      <c r="H175" s="1" t="s">
        <v>778</v>
      </c>
      <c r="I175" s="1" t="s">
        <v>79</v>
      </c>
      <c r="J175" s="2"/>
      <c r="K175" s="2">
        <f>'6 Вед15'!K120</f>
        <v>4517500</v>
      </c>
      <c r="L175" s="2">
        <f t="shared" si="103"/>
        <v>4517500</v>
      </c>
      <c r="M175" s="2">
        <f>'6 Вед15'!M120</f>
        <v>0</v>
      </c>
      <c r="N175" s="2">
        <f t="shared" si="104"/>
        <v>4517500</v>
      </c>
    </row>
    <row r="176" spans="1:14" s="15" customFormat="1" ht="72" customHeight="1" x14ac:dyDescent="0.25">
      <c r="A176" s="556" t="s">
        <v>845</v>
      </c>
      <c r="B176" s="557"/>
      <c r="C176" s="251"/>
      <c r="D176" s="251"/>
      <c r="E176" s="262">
        <v>852</v>
      </c>
      <c r="F176" s="1" t="s">
        <v>37</v>
      </c>
      <c r="G176" s="126" t="s">
        <v>74</v>
      </c>
      <c r="H176" s="1" t="s">
        <v>140</v>
      </c>
      <c r="I176" s="1"/>
      <c r="J176" s="2">
        <f t="shared" ref="J176:M180" si="105">J177</f>
        <v>66777336</v>
      </c>
      <c r="K176" s="2">
        <f t="shared" si="105"/>
        <v>0</v>
      </c>
      <c r="L176" s="80">
        <f t="shared" si="94"/>
        <v>66777336</v>
      </c>
      <c r="M176" s="2">
        <f t="shared" si="105"/>
        <v>0</v>
      </c>
      <c r="N176" s="80">
        <f t="shared" si="104"/>
        <v>66777336</v>
      </c>
    </row>
    <row r="177" spans="1:14" s="15" customFormat="1" ht="36" x14ac:dyDescent="0.25">
      <c r="A177" s="254"/>
      <c r="B177" s="254" t="s">
        <v>95</v>
      </c>
      <c r="C177" s="251"/>
      <c r="D177" s="251"/>
      <c r="E177" s="262">
        <v>852</v>
      </c>
      <c r="F177" s="1" t="s">
        <v>37</v>
      </c>
      <c r="G177" s="126" t="s">
        <v>74</v>
      </c>
      <c r="H177" s="1" t="s">
        <v>140</v>
      </c>
      <c r="I177" s="1" t="s">
        <v>90</v>
      </c>
      <c r="J177" s="2">
        <f t="shared" si="105"/>
        <v>66777336</v>
      </c>
      <c r="K177" s="2">
        <f t="shared" si="105"/>
        <v>0</v>
      </c>
      <c r="L177" s="80">
        <f t="shared" si="94"/>
        <v>66777336</v>
      </c>
      <c r="M177" s="2">
        <f t="shared" si="105"/>
        <v>0</v>
      </c>
      <c r="N177" s="80">
        <f t="shared" si="104"/>
        <v>66777336</v>
      </c>
    </row>
    <row r="178" spans="1:14" s="15" customFormat="1" ht="50.25" customHeight="1" x14ac:dyDescent="0.25">
      <c r="A178" s="254"/>
      <c r="B178" s="254" t="s">
        <v>91</v>
      </c>
      <c r="C178" s="251"/>
      <c r="D178" s="251"/>
      <c r="E178" s="262">
        <v>852</v>
      </c>
      <c r="F178" s="1" t="s">
        <v>37</v>
      </c>
      <c r="G178" s="126" t="s">
        <v>74</v>
      </c>
      <c r="H178" s="1" t="s">
        <v>140</v>
      </c>
      <c r="I178" s="1" t="s">
        <v>92</v>
      </c>
      <c r="J178" s="2">
        <f>'6 Вед15'!J204</f>
        <v>66777336</v>
      </c>
      <c r="K178" s="2">
        <f>'6 Вед15'!K204</f>
        <v>0</v>
      </c>
      <c r="L178" s="80">
        <f t="shared" si="94"/>
        <v>66777336</v>
      </c>
      <c r="M178" s="2">
        <f>'6 Вед15'!M204</f>
        <v>0</v>
      </c>
      <c r="N178" s="80">
        <f t="shared" si="104"/>
        <v>66777336</v>
      </c>
    </row>
    <row r="179" spans="1:14" s="15" customFormat="1" ht="25.5" customHeight="1" x14ac:dyDescent="0.25">
      <c r="A179" s="552" t="s">
        <v>807</v>
      </c>
      <c r="B179" s="553"/>
      <c r="C179" s="428"/>
      <c r="D179" s="428"/>
      <c r="E179" s="289"/>
      <c r="F179" s="1" t="s">
        <v>37</v>
      </c>
      <c r="G179" s="126" t="s">
        <v>74</v>
      </c>
      <c r="H179" s="1" t="s">
        <v>808</v>
      </c>
      <c r="I179" s="1"/>
      <c r="J179" s="2">
        <f t="shared" si="105"/>
        <v>0</v>
      </c>
      <c r="K179" s="2">
        <f t="shared" si="105"/>
        <v>0</v>
      </c>
      <c r="L179" s="80">
        <f t="shared" ref="L179:L180" si="106">J179+K179</f>
        <v>0</v>
      </c>
      <c r="M179" s="2">
        <f t="shared" si="105"/>
        <v>808050</v>
      </c>
      <c r="N179" s="80">
        <f t="shared" si="104"/>
        <v>808050</v>
      </c>
    </row>
    <row r="180" spans="1:14" s="15" customFormat="1" ht="25.5" customHeight="1" x14ac:dyDescent="0.25">
      <c r="A180" s="426"/>
      <c r="B180" s="426" t="s">
        <v>95</v>
      </c>
      <c r="C180" s="428"/>
      <c r="D180" s="428"/>
      <c r="E180" s="289"/>
      <c r="F180" s="1" t="s">
        <v>37</v>
      </c>
      <c r="G180" s="126" t="s">
        <v>74</v>
      </c>
      <c r="H180" s="1" t="s">
        <v>808</v>
      </c>
      <c r="I180" s="1" t="s">
        <v>90</v>
      </c>
      <c r="J180" s="2">
        <f t="shared" si="105"/>
        <v>0</v>
      </c>
      <c r="K180" s="2">
        <f t="shared" si="105"/>
        <v>0</v>
      </c>
      <c r="L180" s="80">
        <f t="shared" si="106"/>
        <v>0</v>
      </c>
      <c r="M180" s="2">
        <f t="shared" si="105"/>
        <v>808050</v>
      </c>
      <c r="N180" s="80">
        <f t="shared" si="104"/>
        <v>808050</v>
      </c>
    </row>
    <row r="181" spans="1:14" s="15" customFormat="1" ht="17.25" customHeight="1" x14ac:dyDescent="0.25">
      <c r="A181" s="426"/>
      <c r="B181" s="19" t="s">
        <v>130</v>
      </c>
      <c r="C181" s="428"/>
      <c r="D181" s="428"/>
      <c r="E181" s="289"/>
      <c r="F181" s="1" t="s">
        <v>37</v>
      </c>
      <c r="G181" s="126" t="s">
        <v>74</v>
      </c>
      <c r="H181" s="1" t="s">
        <v>808</v>
      </c>
      <c r="I181" s="1" t="s">
        <v>131</v>
      </c>
      <c r="J181" s="2"/>
      <c r="K181" s="2">
        <f>'6 Вед15'!K207</f>
        <v>0</v>
      </c>
      <c r="L181" s="80">
        <f>J181+K181</f>
        <v>0</v>
      </c>
      <c r="M181" s="2">
        <f>'6 Вед15'!M207</f>
        <v>808050</v>
      </c>
      <c r="N181" s="80">
        <f>L181+M181</f>
        <v>808050</v>
      </c>
    </row>
    <row r="182" spans="1:14" s="15" customFormat="1" ht="38.25" customHeight="1" x14ac:dyDescent="0.25">
      <c r="A182" s="556" t="s">
        <v>124</v>
      </c>
      <c r="B182" s="557"/>
      <c r="C182" s="251"/>
      <c r="D182" s="251"/>
      <c r="E182" s="262">
        <v>852</v>
      </c>
      <c r="F182" s="1" t="s">
        <v>37</v>
      </c>
      <c r="G182" s="126" t="s">
        <v>74</v>
      </c>
      <c r="H182" s="1" t="s">
        <v>125</v>
      </c>
      <c r="I182" s="1"/>
      <c r="J182" s="2">
        <f t="shared" ref="J182:M182" si="107">J183</f>
        <v>2667200</v>
      </c>
      <c r="K182" s="2">
        <f t="shared" si="107"/>
        <v>0</v>
      </c>
      <c r="L182" s="80">
        <f t="shared" si="94"/>
        <v>2667200</v>
      </c>
      <c r="M182" s="2">
        <f t="shared" si="107"/>
        <v>0</v>
      </c>
      <c r="N182" s="80">
        <f t="shared" ref="N182:N185" si="108">L182+M182</f>
        <v>2667200</v>
      </c>
    </row>
    <row r="183" spans="1:14" s="15" customFormat="1" ht="36" x14ac:dyDescent="0.25">
      <c r="A183" s="251"/>
      <c r="B183" s="254" t="s">
        <v>95</v>
      </c>
      <c r="C183" s="28"/>
      <c r="D183" s="28"/>
      <c r="E183" s="29">
        <v>852</v>
      </c>
      <c r="F183" s="30" t="s">
        <v>37</v>
      </c>
      <c r="G183" s="129" t="s">
        <v>74</v>
      </c>
      <c r="H183" s="1" t="s">
        <v>125</v>
      </c>
      <c r="I183" s="1" t="s">
        <v>90</v>
      </c>
      <c r="J183" s="2">
        <f t="shared" ref="J183:M183" si="109">J184</f>
        <v>2667200</v>
      </c>
      <c r="K183" s="2">
        <f t="shared" si="109"/>
        <v>0</v>
      </c>
      <c r="L183" s="80">
        <f t="shared" si="94"/>
        <v>2667200</v>
      </c>
      <c r="M183" s="2">
        <f t="shared" si="109"/>
        <v>0</v>
      </c>
      <c r="N183" s="80">
        <f t="shared" si="108"/>
        <v>2667200</v>
      </c>
    </row>
    <row r="184" spans="1:14" s="15" customFormat="1" ht="51" customHeight="1" x14ac:dyDescent="0.25">
      <c r="A184" s="251"/>
      <c r="B184" s="254" t="s">
        <v>91</v>
      </c>
      <c r="C184" s="251"/>
      <c r="D184" s="251"/>
      <c r="E184" s="262">
        <v>852</v>
      </c>
      <c r="F184" s="1" t="s">
        <v>37</v>
      </c>
      <c r="G184" s="127" t="s">
        <v>74</v>
      </c>
      <c r="H184" s="1" t="s">
        <v>125</v>
      </c>
      <c r="I184" s="1" t="s">
        <v>92</v>
      </c>
      <c r="J184" s="2">
        <f>'6 Вед15'!J210</f>
        <v>2667200</v>
      </c>
      <c r="K184" s="2">
        <f>'6 Вед15'!K210</f>
        <v>0</v>
      </c>
      <c r="L184" s="80">
        <f t="shared" si="94"/>
        <v>2667200</v>
      </c>
      <c r="M184" s="2">
        <f>'6 Вед15'!M210</f>
        <v>0</v>
      </c>
      <c r="N184" s="80">
        <f t="shared" si="108"/>
        <v>2667200</v>
      </c>
    </row>
    <row r="185" spans="1:14" s="6" customFormat="1" ht="24.75" customHeight="1" x14ac:dyDescent="0.25">
      <c r="A185" s="552" t="s">
        <v>128</v>
      </c>
      <c r="B185" s="553"/>
      <c r="C185" s="247"/>
      <c r="D185" s="247"/>
      <c r="E185" s="262">
        <v>852</v>
      </c>
      <c r="F185" s="1" t="s">
        <v>37</v>
      </c>
      <c r="G185" s="127" t="s">
        <v>74</v>
      </c>
      <c r="H185" s="90" t="s">
        <v>129</v>
      </c>
      <c r="I185" s="1"/>
      <c r="J185" s="2">
        <f>J186+J188+J190</f>
        <v>9324000</v>
      </c>
      <c r="K185" s="2">
        <f t="shared" ref="K185:M185" si="110">K186+K188+K190</f>
        <v>154200</v>
      </c>
      <c r="L185" s="80">
        <f t="shared" si="94"/>
        <v>9478200</v>
      </c>
      <c r="M185" s="2">
        <f t="shared" si="110"/>
        <v>-891470</v>
      </c>
      <c r="N185" s="80">
        <f t="shared" si="108"/>
        <v>8586730</v>
      </c>
    </row>
    <row r="186" spans="1:14" s="6" customFormat="1" ht="25.5" customHeight="1" x14ac:dyDescent="0.25">
      <c r="A186" s="247"/>
      <c r="B186" s="247" t="s">
        <v>28</v>
      </c>
      <c r="C186" s="247"/>
      <c r="D186" s="247"/>
      <c r="E186" s="262"/>
      <c r="F186" s="1" t="s">
        <v>37</v>
      </c>
      <c r="G186" s="127" t="s">
        <v>74</v>
      </c>
      <c r="H186" s="90" t="s">
        <v>83</v>
      </c>
      <c r="I186" s="1" t="s">
        <v>29</v>
      </c>
      <c r="J186" s="2">
        <f>J187</f>
        <v>0</v>
      </c>
      <c r="K186" s="2">
        <f t="shared" ref="K186:N186" si="111">K187</f>
        <v>0</v>
      </c>
      <c r="L186" s="2">
        <f t="shared" si="111"/>
        <v>0</v>
      </c>
      <c r="M186" s="2">
        <f t="shared" si="111"/>
        <v>0</v>
      </c>
      <c r="N186" s="2">
        <f t="shared" si="111"/>
        <v>0</v>
      </c>
    </row>
    <row r="187" spans="1:14" s="6" customFormat="1" ht="25.5" customHeight="1" x14ac:dyDescent="0.25">
      <c r="A187" s="247"/>
      <c r="B187" s="247" t="s">
        <v>30</v>
      </c>
      <c r="C187" s="247"/>
      <c r="D187" s="247"/>
      <c r="E187" s="262"/>
      <c r="F187" s="1" t="s">
        <v>37</v>
      </c>
      <c r="G187" s="127" t="s">
        <v>74</v>
      </c>
      <c r="H187" s="90" t="s">
        <v>83</v>
      </c>
      <c r="I187" s="1" t="s">
        <v>31</v>
      </c>
      <c r="J187" s="2">
        <f>'6 Вед15'!J123</f>
        <v>0</v>
      </c>
      <c r="K187" s="2">
        <f>'6 Вед15'!K123</f>
        <v>0</v>
      </c>
      <c r="L187" s="80">
        <f t="shared" si="94"/>
        <v>0</v>
      </c>
      <c r="M187" s="2">
        <f>'6 Вед15'!M123</f>
        <v>0</v>
      </c>
      <c r="N187" s="80">
        <f t="shared" ref="N187:N214" si="112">L187+M187</f>
        <v>0</v>
      </c>
    </row>
    <row r="188" spans="1:14" s="6" customFormat="1" ht="26.25" customHeight="1" x14ac:dyDescent="0.25">
      <c r="A188" s="247"/>
      <c r="B188" s="247" t="s">
        <v>597</v>
      </c>
      <c r="C188" s="247"/>
      <c r="D188" s="247"/>
      <c r="E188" s="262">
        <v>851</v>
      </c>
      <c r="F188" s="1" t="s">
        <v>37</v>
      </c>
      <c r="G188" s="127" t="s">
        <v>74</v>
      </c>
      <c r="H188" s="90" t="s">
        <v>83</v>
      </c>
      <c r="I188" s="1" t="s">
        <v>77</v>
      </c>
      <c r="J188" s="2">
        <f>'6 Вед15'!J124</f>
        <v>8214000</v>
      </c>
      <c r="K188" s="2">
        <f>'6 Вед15'!K124</f>
        <v>0</v>
      </c>
      <c r="L188" s="80">
        <f t="shared" si="94"/>
        <v>8214000</v>
      </c>
      <c r="M188" s="2">
        <f>'6 Вед15'!M124</f>
        <v>-940718</v>
      </c>
      <c r="N188" s="80">
        <f t="shared" si="112"/>
        <v>7273282</v>
      </c>
    </row>
    <row r="189" spans="1:14" s="6" customFormat="1" ht="35.25" customHeight="1" x14ac:dyDescent="0.25">
      <c r="A189" s="247"/>
      <c r="B189" s="254" t="s">
        <v>78</v>
      </c>
      <c r="C189" s="247"/>
      <c r="D189" s="247"/>
      <c r="E189" s="262">
        <v>851</v>
      </c>
      <c r="F189" s="1" t="s">
        <v>37</v>
      </c>
      <c r="G189" s="127" t="s">
        <v>74</v>
      </c>
      <c r="H189" s="90" t="s">
        <v>83</v>
      </c>
      <c r="I189" s="1" t="s">
        <v>79</v>
      </c>
      <c r="J189" s="2">
        <f>'6 Вед15'!J125</f>
        <v>8214000</v>
      </c>
      <c r="K189" s="2">
        <f>'6 Вед15'!K125</f>
        <v>0</v>
      </c>
      <c r="L189" s="80">
        <f t="shared" si="94"/>
        <v>8214000</v>
      </c>
      <c r="M189" s="2">
        <f>'6 Вед15'!M125</f>
        <v>-940718</v>
      </c>
      <c r="N189" s="80">
        <f t="shared" si="112"/>
        <v>7273282</v>
      </c>
    </row>
    <row r="190" spans="1:14" s="6" customFormat="1" ht="27" customHeight="1" x14ac:dyDescent="0.25">
      <c r="A190" s="247"/>
      <c r="B190" s="254" t="s">
        <v>95</v>
      </c>
      <c r="C190" s="247"/>
      <c r="D190" s="247"/>
      <c r="E190" s="262">
        <v>852</v>
      </c>
      <c r="F190" s="1" t="s">
        <v>37</v>
      </c>
      <c r="G190" s="127" t="s">
        <v>74</v>
      </c>
      <c r="H190" s="90" t="s">
        <v>129</v>
      </c>
      <c r="I190" s="1" t="s">
        <v>90</v>
      </c>
      <c r="J190" s="2">
        <f t="shared" ref="J190:M190" si="113">J191</f>
        <v>1110000</v>
      </c>
      <c r="K190" s="2">
        <f t="shared" si="113"/>
        <v>154200</v>
      </c>
      <c r="L190" s="80">
        <f t="shared" si="94"/>
        <v>1264200</v>
      </c>
      <c r="M190" s="2">
        <f t="shared" si="113"/>
        <v>49248</v>
      </c>
      <c r="N190" s="80">
        <f t="shared" si="112"/>
        <v>1313448</v>
      </c>
    </row>
    <row r="191" spans="1:14" s="6" customFormat="1" ht="15.75" customHeight="1" x14ac:dyDescent="0.25">
      <c r="A191" s="247"/>
      <c r="B191" s="19" t="s">
        <v>130</v>
      </c>
      <c r="C191" s="247"/>
      <c r="D191" s="247"/>
      <c r="E191" s="262">
        <v>852</v>
      </c>
      <c r="F191" s="1" t="s">
        <v>37</v>
      </c>
      <c r="G191" s="127" t="s">
        <v>74</v>
      </c>
      <c r="H191" s="90" t="s">
        <v>129</v>
      </c>
      <c r="I191" s="1" t="s">
        <v>131</v>
      </c>
      <c r="J191" s="2">
        <f>'6 Вед15'!J213</f>
        <v>1110000</v>
      </c>
      <c r="K191" s="2">
        <f>'6 Вед15'!K213</f>
        <v>154200</v>
      </c>
      <c r="L191" s="80">
        <f t="shared" si="94"/>
        <v>1264200</v>
      </c>
      <c r="M191" s="2">
        <f>'6 Вед15'!M213</f>
        <v>49248</v>
      </c>
      <c r="N191" s="80">
        <f t="shared" si="112"/>
        <v>1313448</v>
      </c>
    </row>
    <row r="192" spans="1:14" s="6" customFormat="1" ht="38.25" customHeight="1" x14ac:dyDescent="0.25">
      <c r="A192" s="552" t="s">
        <v>132</v>
      </c>
      <c r="B192" s="553"/>
      <c r="C192" s="247"/>
      <c r="D192" s="247"/>
      <c r="E192" s="262">
        <v>852</v>
      </c>
      <c r="F192" s="20" t="s">
        <v>37</v>
      </c>
      <c r="G192" s="127" t="s">
        <v>74</v>
      </c>
      <c r="H192" s="20" t="s">
        <v>133</v>
      </c>
      <c r="I192" s="1"/>
      <c r="J192" s="2">
        <f>'6 Вед15'!J214</f>
        <v>677500</v>
      </c>
      <c r="K192" s="2">
        <f>'6 Вед15'!K214</f>
        <v>171280</v>
      </c>
      <c r="L192" s="80">
        <f t="shared" si="94"/>
        <v>848780</v>
      </c>
      <c r="M192" s="2">
        <f>'6 Вед15'!M214</f>
        <v>0</v>
      </c>
      <c r="N192" s="80">
        <f t="shared" si="112"/>
        <v>848780</v>
      </c>
    </row>
    <row r="193" spans="1:14" s="6" customFormat="1" ht="27" customHeight="1" x14ac:dyDescent="0.25">
      <c r="A193" s="247"/>
      <c r="B193" s="254" t="s">
        <v>95</v>
      </c>
      <c r="C193" s="247"/>
      <c r="D193" s="247"/>
      <c r="E193" s="262">
        <v>852</v>
      </c>
      <c r="F193" s="1" t="s">
        <v>37</v>
      </c>
      <c r="G193" s="127" t="s">
        <v>74</v>
      </c>
      <c r="H193" s="20" t="s">
        <v>133</v>
      </c>
      <c r="I193" s="1" t="s">
        <v>90</v>
      </c>
      <c r="J193" s="2">
        <f>'6 Вед15'!J215</f>
        <v>677500</v>
      </c>
      <c r="K193" s="2">
        <f>'6 Вед15'!K215</f>
        <v>171280</v>
      </c>
      <c r="L193" s="80">
        <f t="shared" si="94"/>
        <v>848780</v>
      </c>
      <c r="M193" s="2">
        <f>'6 Вед15'!M215</f>
        <v>0</v>
      </c>
      <c r="N193" s="80">
        <f t="shared" si="112"/>
        <v>848780</v>
      </c>
    </row>
    <row r="194" spans="1:14" s="6" customFormat="1" ht="17.25" customHeight="1" x14ac:dyDescent="0.25">
      <c r="A194" s="247"/>
      <c r="B194" s="19" t="s">
        <v>130</v>
      </c>
      <c r="C194" s="247"/>
      <c r="D194" s="247"/>
      <c r="E194" s="262">
        <v>852</v>
      </c>
      <c r="F194" s="1" t="s">
        <v>37</v>
      </c>
      <c r="G194" s="127" t="s">
        <v>74</v>
      </c>
      <c r="H194" s="20" t="s">
        <v>133</v>
      </c>
      <c r="I194" s="1" t="s">
        <v>131</v>
      </c>
      <c r="J194" s="2">
        <f>'6 Вед15'!J216</f>
        <v>677500</v>
      </c>
      <c r="K194" s="2">
        <f>'6 Вед15'!K216</f>
        <v>171280</v>
      </c>
      <c r="L194" s="80">
        <f t="shared" si="94"/>
        <v>848780</v>
      </c>
      <c r="M194" s="2">
        <f>'6 Вед15'!M216</f>
        <v>0</v>
      </c>
      <c r="N194" s="80">
        <f t="shared" si="112"/>
        <v>848780</v>
      </c>
    </row>
    <row r="195" spans="1:14" s="6" customFormat="1" ht="12" customHeight="1" x14ac:dyDescent="0.25">
      <c r="A195" s="550" t="s">
        <v>141</v>
      </c>
      <c r="B195" s="551"/>
      <c r="C195" s="251"/>
      <c r="D195" s="251"/>
      <c r="E195" s="262">
        <v>852</v>
      </c>
      <c r="F195" s="12" t="s">
        <v>37</v>
      </c>
      <c r="G195" s="125" t="s">
        <v>37</v>
      </c>
      <c r="H195" s="13"/>
      <c r="I195" s="12"/>
      <c r="J195" s="14">
        <f t="shared" ref="J195:M196" si="114">J196</f>
        <v>122200</v>
      </c>
      <c r="K195" s="14">
        <f t="shared" si="114"/>
        <v>0</v>
      </c>
      <c r="L195" s="80">
        <f t="shared" si="94"/>
        <v>122200</v>
      </c>
      <c r="M195" s="14">
        <f t="shared" si="114"/>
        <v>0</v>
      </c>
      <c r="N195" s="80">
        <f t="shared" si="112"/>
        <v>122200</v>
      </c>
    </row>
    <row r="196" spans="1:14" s="6" customFormat="1" ht="26.25" customHeight="1" x14ac:dyDescent="0.25">
      <c r="A196" s="552" t="s">
        <v>142</v>
      </c>
      <c r="B196" s="553"/>
      <c r="C196" s="247"/>
      <c r="D196" s="247"/>
      <c r="E196" s="262">
        <v>852</v>
      </c>
      <c r="F196" s="1" t="s">
        <v>37</v>
      </c>
      <c r="G196" s="126" t="s">
        <v>37</v>
      </c>
      <c r="H196" s="20" t="s">
        <v>557</v>
      </c>
      <c r="I196" s="1"/>
      <c r="J196" s="2">
        <f t="shared" si="114"/>
        <v>122200</v>
      </c>
      <c r="K196" s="2">
        <f t="shared" si="114"/>
        <v>0</v>
      </c>
      <c r="L196" s="80">
        <f t="shared" si="94"/>
        <v>122200</v>
      </c>
      <c r="M196" s="2">
        <f t="shared" si="114"/>
        <v>0</v>
      </c>
      <c r="N196" s="80">
        <f t="shared" si="112"/>
        <v>122200</v>
      </c>
    </row>
    <row r="197" spans="1:14" s="6" customFormat="1" ht="26.25" customHeight="1" x14ac:dyDescent="0.25">
      <c r="A197" s="17"/>
      <c r="B197" s="254" t="s">
        <v>28</v>
      </c>
      <c r="C197" s="246"/>
      <c r="D197" s="246"/>
      <c r="E197" s="262">
        <v>852</v>
      </c>
      <c r="F197" s="1" t="s">
        <v>37</v>
      </c>
      <c r="G197" s="126" t="s">
        <v>37</v>
      </c>
      <c r="H197" s="20" t="s">
        <v>557</v>
      </c>
      <c r="I197" s="1" t="s">
        <v>29</v>
      </c>
      <c r="J197" s="2">
        <f t="shared" ref="J197:M197" si="115">J198</f>
        <v>122200</v>
      </c>
      <c r="K197" s="2">
        <f t="shared" si="115"/>
        <v>0</v>
      </c>
      <c r="L197" s="80">
        <f t="shared" si="94"/>
        <v>122200</v>
      </c>
      <c r="M197" s="2">
        <f t="shared" si="115"/>
        <v>0</v>
      </c>
      <c r="N197" s="80">
        <f t="shared" si="112"/>
        <v>122200</v>
      </c>
    </row>
    <row r="198" spans="1:14" s="6" customFormat="1" ht="26.25" customHeight="1" x14ac:dyDescent="0.25">
      <c r="A198" s="17"/>
      <c r="B198" s="254" t="s">
        <v>30</v>
      </c>
      <c r="C198" s="247"/>
      <c r="D198" s="247"/>
      <c r="E198" s="262">
        <v>852</v>
      </c>
      <c r="F198" s="1" t="s">
        <v>37</v>
      </c>
      <c r="G198" s="126" t="s">
        <v>37</v>
      </c>
      <c r="H198" s="20" t="s">
        <v>557</v>
      </c>
      <c r="I198" s="1" t="s">
        <v>31</v>
      </c>
      <c r="J198" s="2">
        <f>'6 Вед15'!J220</f>
        <v>122200</v>
      </c>
      <c r="K198" s="2">
        <f>'6 Вед15'!K220</f>
        <v>0</v>
      </c>
      <c r="L198" s="80">
        <f t="shared" si="94"/>
        <v>122200</v>
      </c>
      <c r="M198" s="2">
        <f>'6 Вед15'!M220</f>
        <v>0</v>
      </c>
      <c r="N198" s="80">
        <f t="shared" si="112"/>
        <v>122200</v>
      </c>
    </row>
    <row r="199" spans="1:14" s="6" customFormat="1" ht="12" customHeight="1" x14ac:dyDescent="0.25">
      <c r="A199" s="550" t="s">
        <v>143</v>
      </c>
      <c r="B199" s="551"/>
      <c r="C199" s="251"/>
      <c r="D199" s="251"/>
      <c r="E199" s="262">
        <v>852</v>
      </c>
      <c r="F199" s="12" t="s">
        <v>37</v>
      </c>
      <c r="G199" s="125" t="s">
        <v>58</v>
      </c>
      <c r="H199" s="13"/>
      <c r="I199" s="12"/>
      <c r="J199" s="14">
        <f>J212+J200+J203</f>
        <v>12067360</v>
      </c>
      <c r="K199" s="14">
        <f>K212+K200+K203</f>
        <v>0</v>
      </c>
      <c r="L199" s="80">
        <f t="shared" si="94"/>
        <v>12067360</v>
      </c>
      <c r="M199" s="14">
        <f>M212+M200+M203</f>
        <v>57314</v>
      </c>
      <c r="N199" s="80">
        <f t="shared" si="112"/>
        <v>12124674</v>
      </c>
    </row>
    <row r="200" spans="1:14" s="6" customFormat="1" ht="27" customHeight="1" x14ac:dyDescent="0.25">
      <c r="A200" s="552" t="s">
        <v>27</v>
      </c>
      <c r="B200" s="553"/>
      <c r="C200" s="262"/>
      <c r="D200" s="262"/>
      <c r="E200" s="262">
        <v>852</v>
      </c>
      <c r="F200" s="1" t="s">
        <v>37</v>
      </c>
      <c r="G200" s="126" t="s">
        <v>58</v>
      </c>
      <c r="H200" s="1" t="s">
        <v>561</v>
      </c>
      <c r="I200" s="1"/>
      <c r="J200" s="2">
        <f t="shared" ref="J200:M201" si="116">J201</f>
        <v>836500</v>
      </c>
      <c r="K200" s="2">
        <f t="shared" si="116"/>
        <v>0</v>
      </c>
      <c r="L200" s="80">
        <f t="shared" si="94"/>
        <v>836500</v>
      </c>
      <c r="M200" s="2">
        <f t="shared" si="116"/>
        <v>0</v>
      </c>
      <c r="N200" s="80">
        <f t="shared" si="112"/>
        <v>836500</v>
      </c>
    </row>
    <row r="201" spans="1:14" s="6" customFormat="1" ht="61.5" customHeight="1" x14ac:dyDescent="0.25">
      <c r="A201" s="17"/>
      <c r="B201" s="246" t="s">
        <v>22</v>
      </c>
      <c r="C201" s="262"/>
      <c r="D201" s="262"/>
      <c r="E201" s="262">
        <v>852</v>
      </c>
      <c r="F201" s="1" t="s">
        <v>37</v>
      </c>
      <c r="G201" s="126" t="s">
        <v>58</v>
      </c>
      <c r="H201" s="1" t="s">
        <v>561</v>
      </c>
      <c r="I201" s="1" t="s">
        <v>24</v>
      </c>
      <c r="J201" s="2">
        <f t="shared" si="116"/>
        <v>836500</v>
      </c>
      <c r="K201" s="2">
        <f t="shared" si="116"/>
        <v>0</v>
      </c>
      <c r="L201" s="80">
        <f t="shared" si="94"/>
        <v>836500</v>
      </c>
      <c r="M201" s="2">
        <f t="shared" si="116"/>
        <v>0</v>
      </c>
      <c r="N201" s="80">
        <f t="shared" si="112"/>
        <v>836500</v>
      </c>
    </row>
    <row r="202" spans="1:14" s="6" customFormat="1" ht="24" customHeight="1" x14ac:dyDescent="0.25">
      <c r="A202" s="17"/>
      <c r="B202" s="246" t="s">
        <v>25</v>
      </c>
      <c r="C202" s="262"/>
      <c r="D202" s="262"/>
      <c r="E202" s="262">
        <v>852</v>
      </c>
      <c r="F202" s="1" t="s">
        <v>37</v>
      </c>
      <c r="G202" s="126" t="s">
        <v>58</v>
      </c>
      <c r="H202" s="1" t="s">
        <v>561</v>
      </c>
      <c r="I202" s="1" t="s">
        <v>26</v>
      </c>
      <c r="J202" s="2">
        <f>'6 Вед15'!J224</f>
        <v>836500</v>
      </c>
      <c r="K202" s="2">
        <f>'6 Вед15'!K224</f>
        <v>0</v>
      </c>
      <c r="L202" s="80">
        <f t="shared" si="94"/>
        <v>836500</v>
      </c>
      <c r="M202" s="2">
        <f>'6 Вед15'!M224</f>
        <v>0</v>
      </c>
      <c r="N202" s="80">
        <f t="shared" si="112"/>
        <v>836500</v>
      </c>
    </row>
    <row r="203" spans="1:14" s="6" customFormat="1" ht="12" customHeight="1" x14ac:dyDescent="0.25">
      <c r="A203" s="552" t="s">
        <v>144</v>
      </c>
      <c r="B203" s="553"/>
      <c r="C203" s="247"/>
      <c r="D203" s="247"/>
      <c r="E203" s="262">
        <v>852</v>
      </c>
      <c r="F203" s="1" t="s">
        <v>37</v>
      </c>
      <c r="G203" s="126" t="s">
        <v>58</v>
      </c>
      <c r="H203" s="1" t="s">
        <v>145</v>
      </c>
      <c r="I203" s="1"/>
      <c r="J203" s="2">
        <f t="shared" ref="J203:K203" si="117">J204+J206+J208+J210</f>
        <v>9831800</v>
      </c>
      <c r="K203" s="2">
        <f t="shared" si="117"/>
        <v>0</v>
      </c>
      <c r="L203" s="80">
        <f t="shared" si="94"/>
        <v>9831800</v>
      </c>
      <c r="M203" s="2">
        <f t="shared" ref="M203" si="118">M204+M206+M208+M210</f>
        <v>57314</v>
      </c>
      <c r="N203" s="80">
        <f t="shared" si="112"/>
        <v>9889114</v>
      </c>
    </row>
    <row r="204" spans="1:14" s="6" customFormat="1" ht="60.75" customHeight="1" x14ac:dyDescent="0.25">
      <c r="A204" s="17"/>
      <c r="B204" s="246" t="s">
        <v>22</v>
      </c>
      <c r="C204" s="262"/>
      <c r="D204" s="262"/>
      <c r="E204" s="262">
        <v>852</v>
      </c>
      <c r="F204" s="1" t="s">
        <v>37</v>
      </c>
      <c r="G204" s="126" t="s">
        <v>58</v>
      </c>
      <c r="H204" s="1" t="s">
        <v>145</v>
      </c>
      <c r="I204" s="1" t="s">
        <v>24</v>
      </c>
      <c r="J204" s="2">
        <f t="shared" ref="J204:M204" si="119">J205</f>
        <v>2427300</v>
      </c>
      <c r="K204" s="2">
        <f t="shared" si="119"/>
        <v>0</v>
      </c>
      <c r="L204" s="80">
        <f t="shared" si="94"/>
        <v>2427300</v>
      </c>
      <c r="M204" s="2">
        <f t="shared" si="119"/>
        <v>1824</v>
      </c>
      <c r="N204" s="80">
        <f t="shared" si="112"/>
        <v>2429124</v>
      </c>
    </row>
    <row r="205" spans="1:14" s="6" customFormat="1" ht="25.5" customHeight="1" x14ac:dyDescent="0.25">
      <c r="A205" s="17"/>
      <c r="B205" s="246" t="s">
        <v>25</v>
      </c>
      <c r="C205" s="262"/>
      <c r="D205" s="262"/>
      <c r="E205" s="262">
        <v>852</v>
      </c>
      <c r="F205" s="1" t="s">
        <v>37</v>
      </c>
      <c r="G205" s="126" t="s">
        <v>58</v>
      </c>
      <c r="H205" s="1" t="s">
        <v>145</v>
      </c>
      <c r="I205" s="1" t="s">
        <v>26</v>
      </c>
      <c r="J205" s="2">
        <f>'6 Вед15'!J227</f>
        <v>2427300</v>
      </c>
      <c r="K205" s="2">
        <f>'6 Вед15'!K227</f>
        <v>0</v>
      </c>
      <c r="L205" s="80">
        <f t="shared" si="94"/>
        <v>2427300</v>
      </c>
      <c r="M205" s="2">
        <f>'6 Вед15'!M227</f>
        <v>1824</v>
      </c>
      <c r="N205" s="80">
        <f t="shared" si="112"/>
        <v>2429124</v>
      </c>
    </row>
    <row r="206" spans="1:14" s="6" customFormat="1" ht="25.5" customHeight="1" x14ac:dyDescent="0.25">
      <c r="A206" s="246"/>
      <c r="B206" s="254" t="s">
        <v>28</v>
      </c>
      <c r="C206" s="246"/>
      <c r="D206" s="246"/>
      <c r="E206" s="262">
        <v>852</v>
      </c>
      <c r="F206" s="1" t="s">
        <v>37</v>
      </c>
      <c r="G206" s="126" t="s">
        <v>58</v>
      </c>
      <c r="H206" s="1" t="s">
        <v>145</v>
      </c>
      <c r="I206" s="1" t="s">
        <v>29</v>
      </c>
      <c r="J206" s="2">
        <f>'6 Вед15'!J228</f>
        <v>505100</v>
      </c>
      <c r="K206" s="2">
        <f>'6 Вед15'!K228</f>
        <v>0</v>
      </c>
      <c r="L206" s="80">
        <f t="shared" si="94"/>
        <v>505100</v>
      </c>
      <c r="M206" s="2">
        <f>'6 Вед15'!M228</f>
        <v>-1824</v>
      </c>
      <c r="N206" s="80">
        <f t="shared" si="112"/>
        <v>503276</v>
      </c>
    </row>
    <row r="207" spans="1:14" s="6" customFormat="1" ht="25.5" customHeight="1" x14ac:dyDescent="0.25">
      <c r="A207" s="246"/>
      <c r="B207" s="254" t="s">
        <v>30</v>
      </c>
      <c r="C207" s="247"/>
      <c r="D207" s="247"/>
      <c r="E207" s="262">
        <v>852</v>
      </c>
      <c r="F207" s="1" t="s">
        <v>37</v>
      </c>
      <c r="G207" s="126" t="s">
        <v>58</v>
      </c>
      <c r="H207" s="1" t="s">
        <v>145</v>
      </c>
      <c r="I207" s="1" t="s">
        <v>31</v>
      </c>
      <c r="J207" s="2">
        <f>'6 Вед15'!J229</f>
        <v>505100</v>
      </c>
      <c r="K207" s="2">
        <f>'6 Вед15'!K229</f>
        <v>0</v>
      </c>
      <c r="L207" s="80">
        <f t="shared" si="94"/>
        <v>505100</v>
      </c>
      <c r="M207" s="2">
        <f>'6 Вед15'!M229</f>
        <v>-1824</v>
      </c>
      <c r="N207" s="80">
        <f t="shared" si="112"/>
        <v>503276</v>
      </c>
    </row>
    <row r="208" spans="1:14" s="6" customFormat="1" ht="36" x14ac:dyDescent="0.25">
      <c r="A208" s="247"/>
      <c r="B208" s="254" t="s">
        <v>95</v>
      </c>
      <c r="C208" s="247"/>
      <c r="D208" s="247"/>
      <c r="E208" s="262">
        <v>852</v>
      </c>
      <c r="F208" s="1" t="s">
        <v>37</v>
      </c>
      <c r="G208" s="126" t="s">
        <v>58</v>
      </c>
      <c r="H208" s="1" t="s">
        <v>145</v>
      </c>
      <c r="I208" s="1" t="s">
        <v>90</v>
      </c>
      <c r="J208" s="2">
        <f>'6 Вед15'!J230</f>
        <v>6887400</v>
      </c>
      <c r="K208" s="2">
        <f>'6 Вед15'!K230</f>
        <v>0</v>
      </c>
      <c r="L208" s="80">
        <f t="shared" si="94"/>
        <v>6887400</v>
      </c>
      <c r="M208" s="2">
        <f>'6 Вед15'!M230</f>
        <v>57314</v>
      </c>
      <c r="N208" s="80">
        <f t="shared" si="112"/>
        <v>6944714</v>
      </c>
    </row>
    <row r="209" spans="1:14" s="6" customFormat="1" ht="51" customHeight="1" x14ac:dyDescent="0.25">
      <c r="A209" s="247"/>
      <c r="B209" s="254" t="s">
        <v>91</v>
      </c>
      <c r="C209" s="247"/>
      <c r="D209" s="247"/>
      <c r="E209" s="262">
        <v>852</v>
      </c>
      <c r="F209" s="1" t="s">
        <v>37</v>
      </c>
      <c r="G209" s="126" t="s">
        <v>58</v>
      </c>
      <c r="H209" s="1" t="s">
        <v>145</v>
      </c>
      <c r="I209" s="1" t="s">
        <v>92</v>
      </c>
      <c r="J209" s="2">
        <f>'6 Вед15'!J231</f>
        <v>6887400</v>
      </c>
      <c r="K209" s="2">
        <f>'6 Вед15'!K231</f>
        <v>0</v>
      </c>
      <c r="L209" s="80">
        <f t="shared" si="94"/>
        <v>6887400</v>
      </c>
      <c r="M209" s="2">
        <f>'6 Вед15'!M231</f>
        <v>57314</v>
      </c>
      <c r="N209" s="80">
        <f t="shared" si="112"/>
        <v>6944714</v>
      </c>
    </row>
    <row r="210" spans="1:14" s="6" customFormat="1" x14ac:dyDescent="0.25">
      <c r="A210" s="247"/>
      <c r="B210" s="247" t="s">
        <v>32</v>
      </c>
      <c r="C210" s="247"/>
      <c r="D210" s="247"/>
      <c r="E210" s="262">
        <v>852</v>
      </c>
      <c r="F210" s="1" t="s">
        <v>37</v>
      </c>
      <c r="G210" s="126" t="s">
        <v>58</v>
      </c>
      <c r="H210" s="1" t="s">
        <v>145</v>
      </c>
      <c r="I210" s="1" t="s">
        <v>33</v>
      </c>
      <c r="J210" s="2">
        <f>'6 Вед15'!J232</f>
        <v>12000</v>
      </c>
      <c r="K210" s="2">
        <f>'6 Вед15'!K232</f>
        <v>0</v>
      </c>
      <c r="L210" s="80">
        <f t="shared" si="94"/>
        <v>12000</v>
      </c>
      <c r="M210" s="2">
        <f>'6 Вед15'!M232</f>
        <v>0</v>
      </c>
      <c r="N210" s="80">
        <f t="shared" si="112"/>
        <v>12000</v>
      </c>
    </row>
    <row r="211" spans="1:14" s="6" customFormat="1" ht="24" x14ac:dyDescent="0.25">
      <c r="A211" s="247"/>
      <c r="B211" s="247" t="s">
        <v>34</v>
      </c>
      <c r="C211" s="247"/>
      <c r="D211" s="247"/>
      <c r="E211" s="262">
        <v>852</v>
      </c>
      <c r="F211" s="1" t="s">
        <v>37</v>
      </c>
      <c r="G211" s="126" t="s">
        <v>58</v>
      </c>
      <c r="H211" s="1" t="s">
        <v>145</v>
      </c>
      <c r="I211" s="1" t="s">
        <v>35</v>
      </c>
      <c r="J211" s="2">
        <f>'6 Вед15'!J233</f>
        <v>12000</v>
      </c>
      <c r="K211" s="2">
        <f>'6 Вед15'!K233</f>
        <v>0</v>
      </c>
      <c r="L211" s="80">
        <f t="shared" si="94"/>
        <v>12000</v>
      </c>
      <c r="M211" s="2">
        <f>'6 Вед15'!M233</f>
        <v>0</v>
      </c>
      <c r="N211" s="80">
        <f t="shared" si="112"/>
        <v>12000</v>
      </c>
    </row>
    <row r="212" spans="1:14" s="15" customFormat="1" ht="51" customHeight="1" x14ac:dyDescent="0.25">
      <c r="A212" s="556" t="s">
        <v>124</v>
      </c>
      <c r="B212" s="557"/>
      <c r="C212" s="251"/>
      <c r="D212" s="251"/>
      <c r="E212" s="262">
        <v>852</v>
      </c>
      <c r="F212" s="1" t="s">
        <v>37</v>
      </c>
      <c r="G212" s="126" t="s">
        <v>58</v>
      </c>
      <c r="H212" s="1" t="s">
        <v>125</v>
      </c>
      <c r="I212" s="1"/>
      <c r="J212" s="2">
        <f>J213</f>
        <v>1399060</v>
      </c>
      <c r="K212" s="2">
        <f t="shared" ref="K212:M212" si="120">K213</f>
        <v>0</v>
      </c>
      <c r="L212" s="80">
        <f t="shared" si="94"/>
        <v>1399060</v>
      </c>
      <c r="M212" s="2">
        <f t="shared" si="120"/>
        <v>0</v>
      </c>
      <c r="N212" s="80">
        <f t="shared" si="112"/>
        <v>1399060</v>
      </c>
    </row>
    <row r="213" spans="1:14" s="15" customFormat="1" ht="14.25" customHeight="1" x14ac:dyDescent="0.25">
      <c r="A213" s="254"/>
      <c r="B213" s="254" t="s">
        <v>108</v>
      </c>
      <c r="C213" s="251"/>
      <c r="D213" s="251"/>
      <c r="E213" s="262">
        <v>852</v>
      </c>
      <c r="F213" s="1" t="s">
        <v>37</v>
      </c>
      <c r="G213" s="126" t="s">
        <v>58</v>
      </c>
      <c r="H213" s="1" t="s">
        <v>125</v>
      </c>
      <c r="I213" s="1" t="s">
        <v>109</v>
      </c>
      <c r="J213" s="2">
        <f t="shared" ref="J213:M213" si="121">J214</f>
        <v>1399060</v>
      </c>
      <c r="K213" s="2">
        <f t="shared" si="121"/>
        <v>0</v>
      </c>
      <c r="L213" s="80">
        <f t="shared" si="94"/>
        <v>1399060</v>
      </c>
      <c r="M213" s="2">
        <f t="shared" si="121"/>
        <v>0</v>
      </c>
      <c r="N213" s="80">
        <f t="shared" si="112"/>
        <v>1399060</v>
      </c>
    </row>
    <row r="214" spans="1:14" s="15" customFormat="1" ht="36" x14ac:dyDescent="0.25">
      <c r="A214" s="254"/>
      <c r="B214" s="254" t="s">
        <v>146</v>
      </c>
      <c r="C214" s="251"/>
      <c r="D214" s="251"/>
      <c r="E214" s="262">
        <v>852</v>
      </c>
      <c r="F214" s="1" t="s">
        <v>37</v>
      </c>
      <c r="G214" s="126" t="s">
        <v>58</v>
      </c>
      <c r="H214" s="1" t="s">
        <v>125</v>
      </c>
      <c r="I214" s="1" t="s">
        <v>110</v>
      </c>
      <c r="J214" s="2">
        <f>'6 Вед15'!J236</f>
        <v>1399060</v>
      </c>
      <c r="K214" s="2">
        <f>'6 Вед15'!K236</f>
        <v>0</v>
      </c>
      <c r="L214" s="80">
        <f t="shared" si="94"/>
        <v>1399060</v>
      </c>
      <c r="M214" s="2">
        <f>'6 Вед15'!M236</f>
        <v>0</v>
      </c>
      <c r="N214" s="80">
        <f t="shared" si="112"/>
        <v>1399060</v>
      </c>
    </row>
    <row r="215" spans="1:14" s="6" customFormat="1" ht="12" customHeight="1" x14ac:dyDescent="0.25">
      <c r="A215" s="554" t="s">
        <v>85</v>
      </c>
      <c r="B215" s="555"/>
      <c r="C215" s="258"/>
      <c r="D215" s="258"/>
      <c r="E215" s="262">
        <v>851</v>
      </c>
      <c r="F215" s="7" t="s">
        <v>86</v>
      </c>
      <c r="G215" s="124"/>
      <c r="H215" s="8"/>
      <c r="I215" s="7"/>
      <c r="J215" s="9">
        <f>J216+J238</f>
        <v>14967040</v>
      </c>
      <c r="K215" s="9">
        <f>K216+K238</f>
        <v>605000</v>
      </c>
      <c r="L215" s="9">
        <f t="shared" ref="L215:N215" si="122">L216+L238</f>
        <v>15572040</v>
      </c>
      <c r="M215" s="9">
        <f>M216+M238</f>
        <v>0</v>
      </c>
      <c r="N215" s="9">
        <f t="shared" si="122"/>
        <v>15572040</v>
      </c>
    </row>
    <row r="216" spans="1:14" s="6" customFormat="1" ht="12" customHeight="1" x14ac:dyDescent="0.25">
      <c r="A216" s="550" t="s">
        <v>87</v>
      </c>
      <c r="B216" s="551"/>
      <c r="C216" s="251"/>
      <c r="D216" s="251"/>
      <c r="E216" s="262">
        <v>851</v>
      </c>
      <c r="F216" s="12" t="s">
        <v>86</v>
      </c>
      <c r="G216" s="125" t="s">
        <v>18</v>
      </c>
      <c r="H216" s="13"/>
      <c r="I216" s="12"/>
      <c r="J216" s="14">
        <f>J217+J220+J223+J226+J229+J232+J235</f>
        <v>14856640</v>
      </c>
      <c r="K216" s="14">
        <f t="shared" ref="K216:L216" si="123">K217+K220+K223+K226+K229+K232+K235</f>
        <v>605000</v>
      </c>
      <c r="L216" s="14">
        <f t="shared" si="123"/>
        <v>15461640</v>
      </c>
      <c r="M216" s="14">
        <f t="shared" ref="M216:N216" si="124">M217+M220+M223+M226+M229+M232+M235</f>
        <v>0</v>
      </c>
      <c r="N216" s="14">
        <f t="shared" si="124"/>
        <v>15461640</v>
      </c>
    </row>
    <row r="217" spans="1:14" s="6" customFormat="1" ht="12" customHeight="1" x14ac:dyDescent="0.25">
      <c r="A217" s="552" t="s">
        <v>93</v>
      </c>
      <c r="B217" s="553"/>
      <c r="C217" s="247"/>
      <c r="D217" s="247"/>
      <c r="E217" s="262">
        <v>851</v>
      </c>
      <c r="F217" s="1" t="s">
        <v>86</v>
      </c>
      <c r="G217" s="126" t="s">
        <v>18</v>
      </c>
      <c r="H217" s="1" t="s">
        <v>94</v>
      </c>
      <c r="I217" s="1"/>
      <c r="J217" s="2">
        <f t="shared" ref="J217:M218" si="125">J218</f>
        <v>2580900</v>
      </c>
      <c r="K217" s="2">
        <f t="shared" si="125"/>
        <v>0</v>
      </c>
      <c r="L217" s="80">
        <f t="shared" si="94"/>
        <v>2580900</v>
      </c>
      <c r="M217" s="2">
        <f t="shared" si="125"/>
        <v>0</v>
      </c>
      <c r="N217" s="80">
        <f t="shared" ref="N217:N234" si="126">L217+M217</f>
        <v>2580900</v>
      </c>
    </row>
    <row r="218" spans="1:14" s="6" customFormat="1" ht="36" x14ac:dyDescent="0.25">
      <c r="A218" s="251"/>
      <c r="B218" s="254" t="s">
        <v>95</v>
      </c>
      <c r="C218" s="251"/>
      <c r="D218" s="251"/>
      <c r="E218" s="262">
        <v>851</v>
      </c>
      <c r="F218" s="1" t="s">
        <v>86</v>
      </c>
      <c r="G218" s="126" t="s">
        <v>18</v>
      </c>
      <c r="H218" s="1" t="s">
        <v>94</v>
      </c>
      <c r="I218" s="1" t="s">
        <v>90</v>
      </c>
      <c r="J218" s="2">
        <f t="shared" si="125"/>
        <v>2580900</v>
      </c>
      <c r="K218" s="2">
        <f t="shared" si="125"/>
        <v>0</v>
      </c>
      <c r="L218" s="80">
        <f t="shared" si="94"/>
        <v>2580900</v>
      </c>
      <c r="M218" s="2">
        <f t="shared" si="125"/>
        <v>0</v>
      </c>
      <c r="N218" s="80">
        <f t="shared" si="126"/>
        <v>2580900</v>
      </c>
    </row>
    <row r="219" spans="1:14" s="6" customFormat="1" ht="49.5" customHeight="1" x14ac:dyDescent="0.25">
      <c r="A219" s="251"/>
      <c r="B219" s="254" t="s">
        <v>91</v>
      </c>
      <c r="C219" s="251"/>
      <c r="D219" s="251"/>
      <c r="E219" s="262">
        <v>851</v>
      </c>
      <c r="F219" s="1" t="s">
        <v>86</v>
      </c>
      <c r="G219" s="126" t="s">
        <v>18</v>
      </c>
      <c r="H219" s="1" t="s">
        <v>94</v>
      </c>
      <c r="I219" s="1" t="s">
        <v>92</v>
      </c>
      <c r="J219" s="2">
        <f>'6 Вед15'!J130</f>
        <v>2580900</v>
      </c>
      <c r="K219" s="2">
        <f>'6 Вед15'!K130</f>
        <v>0</v>
      </c>
      <c r="L219" s="80">
        <f t="shared" si="94"/>
        <v>2580900</v>
      </c>
      <c r="M219" s="2">
        <f>'6 Вед15'!M130</f>
        <v>0</v>
      </c>
      <c r="N219" s="80">
        <f t="shared" si="126"/>
        <v>2580900</v>
      </c>
    </row>
    <row r="220" spans="1:14" s="6" customFormat="1" ht="12" customHeight="1" x14ac:dyDescent="0.25">
      <c r="A220" s="552" t="s">
        <v>96</v>
      </c>
      <c r="B220" s="553"/>
      <c r="C220" s="247"/>
      <c r="D220" s="247"/>
      <c r="E220" s="262">
        <v>851</v>
      </c>
      <c r="F220" s="1" t="s">
        <v>86</v>
      </c>
      <c r="G220" s="126" t="s">
        <v>18</v>
      </c>
      <c r="H220" s="1" t="s">
        <v>97</v>
      </c>
      <c r="I220" s="1"/>
      <c r="J220" s="2">
        <f>J221</f>
        <v>157900</v>
      </c>
      <c r="K220" s="2">
        <f t="shared" ref="K220:M221" si="127">K221</f>
        <v>0</v>
      </c>
      <c r="L220" s="80">
        <f t="shared" si="94"/>
        <v>157900</v>
      </c>
      <c r="M220" s="2">
        <f t="shared" si="127"/>
        <v>0</v>
      </c>
      <c r="N220" s="80">
        <f t="shared" si="126"/>
        <v>157900</v>
      </c>
    </row>
    <row r="221" spans="1:14" s="6" customFormat="1" ht="36" x14ac:dyDescent="0.25">
      <c r="A221" s="247"/>
      <c r="B221" s="254" t="s">
        <v>95</v>
      </c>
      <c r="C221" s="247"/>
      <c r="D221" s="247"/>
      <c r="E221" s="262"/>
      <c r="F221" s="1" t="s">
        <v>86</v>
      </c>
      <c r="G221" s="126" t="s">
        <v>18</v>
      </c>
      <c r="H221" s="1" t="s">
        <v>97</v>
      </c>
      <c r="I221" s="1" t="s">
        <v>90</v>
      </c>
      <c r="J221" s="2">
        <f>J222</f>
        <v>157900</v>
      </c>
      <c r="K221" s="2">
        <f t="shared" si="127"/>
        <v>0</v>
      </c>
      <c r="L221" s="80">
        <f t="shared" si="94"/>
        <v>157900</v>
      </c>
      <c r="M221" s="2">
        <f t="shared" si="127"/>
        <v>0</v>
      </c>
      <c r="N221" s="80">
        <f t="shared" si="126"/>
        <v>157900</v>
      </c>
    </row>
    <row r="222" spans="1:14" s="6" customFormat="1" ht="49.5" customHeight="1" x14ac:dyDescent="0.25">
      <c r="A222" s="247"/>
      <c r="B222" s="254" t="s">
        <v>91</v>
      </c>
      <c r="C222" s="247"/>
      <c r="D222" s="247"/>
      <c r="E222" s="262"/>
      <c r="F222" s="1" t="s">
        <v>86</v>
      </c>
      <c r="G222" s="126" t="s">
        <v>18</v>
      </c>
      <c r="H222" s="1" t="s">
        <v>97</v>
      </c>
      <c r="I222" s="1" t="s">
        <v>92</v>
      </c>
      <c r="J222" s="2">
        <f>'6 Вед15'!J133</f>
        <v>157900</v>
      </c>
      <c r="K222" s="2">
        <f>'6 Вед15'!K133</f>
        <v>0</v>
      </c>
      <c r="L222" s="80">
        <f t="shared" si="94"/>
        <v>157900</v>
      </c>
      <c r="M222" s="2">
        <f>'6 Вед15'!M133</f>
        <v>0</v>
      </c>
      <c r="N222" s="80">
        <f t="shared" si="126"/>
        <v>157900</v>
      </c>
    </row>
    <row r="223" spans="1:14" s="6" customFormat="1" ht="48.75" customHeight="1" x14ac:dyDescent="0.25">
      <c r="A223" s="558" t="s">
        <v>608</v>
      </c>
      <c r="B223" s="559"/>
      <c r="C223" s="247"/>
      <c r="D223" s="247"/>
      <c r="E223" s="262">
        <v>851</v>
      </c>
      <c r="F223" s="1" t="s">
        <v>86</v>
      </c>
      <c r="G223" s="1" t="s">
        <v>18</v>
      </c>
      <c r="H223" s="1" t="s">
        <v>605</v>
      </c>
      <c r="I223" s="17"/>
      <c r="J223" s="2">
        <f>'6 Вед15'!J134</f>
        <v>8947680</v>
      </c>
      <c r="K223" s="2">
        <f>'6 Вед15'!K134</f>
        <v>0</v>
      </c>
      <c r="L223" s="80">
        <f t="shared" si="94"/>
        <v>8947680</v>
      </c>
      <c r="M223" s="2">
        <f>'6 Вед15'!M134</f>
        <v>0</v>
      </c>
      <c r="N223" s="80">
        <f t="shared" si="126"/>
        <v>8947680</v>
      </c>
    </row>
    <row r="224" spans="1:14" s="6" customFormat="1" ht="36" x14ac:dyDescent="0.25">
      <c r="A224" s="247"/>
      <c r="B224" s="214" t="s">
        <v>95</v>
      </c>
      <c r="C224" s="247"/>
      <c r="D224" s="247"/>
      <c r="E224" s="262">
        <v>851</v>
      </c>
      <c r="F224" s="1" t="s">
        <v>86</v>
      </c>
      <c r="G224" s="1" t="s">
        <v>18</v>
      </c>
      <c r="H224" s="1" t="s">
        <v>605</v>
      </c>
      <c r="I224" s="17">
        <v>600</v>
      </c>
      <c r="J224" s="2">
        <f>'6 Вед15'!J135</f>
        <v>8947680</v>
      </c>
      <c r="K224" s="2">
        <f>'6 Вед15'!K135</f>
        <v>0</v>
      </c>
      <c r="L224" s="80">
        <f t="shared" si="94"/>
        <v>8947680</v>
      </c>
      <c r="M224" s="2">
        <f>'6 Вед15'!M135</f>
        <v>0</v>
      </c>
      <c r="N224" s="80">
        <f t="shared" si="126"/>
        <v>8947680</v>
      </c>
    </row>
    <row r="225" spans="1:14" s="6" customFormat="1" ht="48.75" customHeight="1" x14ac:dyDescent="0.25">
      <c r="A225" s="247"/>
      <c r="B225" s="247" t="s">
        <v>91</v>
      </c>
      <c r="C225" s="247"/>
      <c r="D225" s="247"/>
      <c r="E225" s="262">
        <v>851</v>
      </c>
      <c r="F225" s="1" t="s">
        <v>86</v>
      </c>
      <c r="G225" s="1" t="s">
        <v>18</v>
      </c>
      <c r="H225" s="1" t="s">
        <v>605</v>
      </c>
      <c r="I225" s="17">
        <v>611</v>
      </c>
      <c r="J225" s="2">
        <f>'6 Вед15'!J136</f>
        <v>8947680</v>
      </c>
      <c r="K225" s="2">
        <f>'6 Вед15'!K136</f>
        <v>0</v>
      </c>
      <c r="L225" s="80">
        <f t="shared" si="94"/>
        <v>8947680</v>
      </c>
      <c r="M225" s="2">
        <f>'6 Вед15'!M136</f>
        <v>0</v>
      </c>
      <c r="N225" s="80">
        <f t="shared" si="126"/>
        <v>8947680</v>
      </c>
    </row>
    <row r="226" spans="1:14" s="6" customFormat="1" ht="48" customHeight="1" x14ac:dyDescent="0.25">
      <c r="A226" s="558" t="s">
        <v>609</v>
      </c>
      <c r="B226" s="559"/>
      <c r="C226" s="247"/>
      <c r="D226" s="247"/>
      <c r="E226" s="262">
        <v>851</v>
      </c>
      <c r="F226" s="1" t="s">
        <v>86</v>
      </c>
      <c r="G226" s="1" t="s">
        <v>18</v>
      </c>
      <c r="H226" s="1" t="s">
        <v>607</v>
      </c>
      <c r="I226" s="17"/>
      <c r="J226" s="2">
        <f>'6 Вед15'!J137</f>
        <v>2860620</v>
      </c>
      <c r="K226" s="2">
        <f>'6 Вед15'!K137</f>
        <v>0</v>
      </c>
      <c r="L226" s="80">
        <f t="shared" si="94"/>
        <v>2860620</v>
      </c>
      <c r="M226" s="2">
        <f>'6 Вед15'!M137</f>
        <v>0</v>
      </c>
      <c r="N226" s="80">
        <f t="shared" si="126"/>
        <v>2860620</v>
      </c>
    </row>
    <row r="227" spans="1:14" s="6" customFormat="1" ht="36" x14ac:dyDescent="0.25">
      <c r="A227" s="247"/>
      <c r="B227" s="214" t="s">
        <v>95</v>
      </c>
      <c r="C227" s="247"/>
      <c r="D227" s="247"/>
      <c r="E227" s="262">
        <v>851</v>
      </c>
      <c r="F227" s="1" t="s">
        <v>86</v>
      </c>
      <c r="G227" s="1" t="s">
        <v>18</v>
      </c>
      <c r="H227" s="1" t="s">
        <v>607</v>
      </c>
      <c r="I227" s="17">
        <v>600</v>
      </c>
      <c r="J227" s="2">
        <f>'6 Вед15'!J138</f>
        <v>2860620</v>
      </c>
      <c r="K227" s="2">
        <f>'6 Вед15'!K138</f>
        <v>0</v>
      </c>
      <c r="L227" s="80">
        <f t="shared" si="94"/>
        <v>2860620</v>
      </c>
      <c r="M227" s="2">
        <f>'6 Вед15'!M138</f>
        <v>0</v>
      </c>
      <c r="N227" s="80">
        <f t="shared" si="126"/>
        <v>2860620</v>
      </c>
    </row>
    <row r="228" spans="1:14" s="6" customFormat="1" ht="51" customHeight="1" x14ac:dyDescent="0.25">
      <c r="A228" s="247"/>
      <c r="B228" s="247" t="s">
        <v>91</v>
      </c>
      <c r="C228" s="247"/>
      <c r="D228" s="247"/>
      <c r="E228" s="262">
        <v>851</v>
      </c>
      <c r="F228" s="1" t="s">
        <v>86</v>
      </c>
      <c r="G228" s="1" t="s">
        <v>18</v>
      </c>
      <c r="H228" s="1" t="s">
        <v>607</v>
      </c>
      <c r="I228" s="17">
        <v>611</v>
      </c>
      <c r="J228" s="2">
        <f>'6 Вед15'!J139</f>
        <v>2860620</v>
      </c>
      <c r="K228" s="2">
        <f>'6 Вед15'!K139</f>
        <v>0</v>
      </c>
      <c r="L228" s="80">
        <f t="shared" si="94"/>
        <v>2860620</v>
      </c>
      <c r="M228" s="2">
        <f>'6 Вед15'!M139</f>
        <v>0</v>
      </c>
      <c r="N228" s="80">
        <f t="shared" si="126"/>
        <v>2860620</v>
      </c>
    </row>
    <row r="229" spans="1:14" s="6" customFormat="1" ht="60" customHeight="1" x14ac:dyDescent="0.25">
      <c r="A229" s="558" t="s">
        <v>88</v>
      </c>
      <c r="B229" s="559"/>
      <c r="C229" s="247"/>
      <c r="D229" s="247"/>
      <c r="E229" s="262">
        <v>851</v>
      </c>
      <c r="F229" s="1" t="s">
        <v>86</v>
      </c>
      <c r="G229" s="1" t="s">
        <v>18</v>
      </c>
      <c r="H229" s="1" t="s">
        <v>89</v>
      </c>
      <c r="I229" s="1"/>
      <c r="J229" s="2">
        <f t="shared" ref="J229:M230" si="128">J230</f>
        <v>9540</v>
      </c>
      <c r="K229" s="2">
        <f t="shared" si="128"/>
        <v>0</v>
      </c>
      <c r="L229" s="80">
        <f t="shared" ref="L229:L292" si="129">J229+K229</f>
        <v>9540</v>
      </c>
      <c r="M229" s="2">
        <f t="shared" si="128"/>
        <v>0</v>
      </c>
      <c r="N229" s="80">
        <f t="shared" si="126"/>
        <v>9540</v>
      </c>
    </row>
    <row r="230" spans="1:14" s="6" customFormat="1" ht="24" customHeight="1" x14ac:dyDescent="0.25">
      <c r="A230" s="247"/>
      <c r="B230" s="214" t="s">
        <v>95</v>
      </c>
      <c r="C230" s="247"/>
      <c r="D230" s="247"/>
      <c r="E230" s="262">
        <v>851</v>
      </c>
      <c r="F230" s="1" t="s">
        <v>86</v>
      </c>
      <c r="G230" s="1" t="s">
        <v>18</v>
      </c>
      <c r="H230" s="1" t="s">
        <v>89</v>
      </c>
      <c r="I230" s="1" t="s">
        <v>90</v>
      </c>
      <c r="J230" s="2">
        <f t="shared" si="128"/>
        <v>9540</v>
      </c>
      <c r="K230" s="2">
        <f t="shared" si="128"/>
        <v>0</v>
      </c>
      <c r="L230" s="80">
        <f t="shared" si="129"/>
        <v>9540</v>
      </c>
      <c r="M230" s="2">
        <f t="shared" si="128"/>
        <v>0</v>
      </c>
      <c r="N230" s="80">
        <f t="shared" si="126"/>
        <v>9540</v>
      </c>
    </row>
    <row r="231" spans="1:14" s="6" customFormat="1" ht="48" customHeight="1" x14ac:dyDescent="0.25">
      <c r="A231" s="247"/>
      <c r="B231" s="247" t="s">
        <v>91</v>
      </c>
      <c r="C231" s="247"/>
      <c r="D231" s="247"/>
      <c r="E231" s="262">
        <v>851</v>
      </c>
      <c r="F231" s="1" t="s">
        <v>86</v>
      </c>
      <c r="G231" s="1" t="s">
        <v>18</v>
      </c>
      <c r="H231" s="1" t="s">
        <v>89</v>
      </c>
      <c r="I231" s="1" t="s">
        <v>92</v>
      </c>
      <c r="J231" s="2">
        <f>'6 Вед15'!J142</f>
        <v>9540</v>
      </c>
      <c r="K231" s="2">
        <f>'6 Вед15'!K142</f>
        <v>0</v>
      </c>
      <c r="L231" s="80">
        <f t="shared" si="129"/>
        <v>9540</v>
      </c>
      <c r="M231" s="2">
        <f>'6 Вед15'!M142</f>
        <v>0</v>
      </c>
      <c r="N231" s="80">
        <f t="shared" si="126"/>
        <v>9540</v>
      </c>
    </row>
    <row r="232" spans="1:14" s="6" customFormat="1" ht="26.25" customHeight="1" x14ac:dyDescent="0.25">
      <c r="A232" s="552" t="s">
        <v>98</v>
      </c>
      <c r="B232" s="553"/>
      <c r="C232" s="247"/>
      <c r="D232" s="247"/>
      <c r="E232" s="262">
        <v>851</v>
      </c>
      <c r="F232" s="1" t="s">
        <v>86</v>
      </c>
      <c r="G232" s="126" t="s">
        <v>18</v>
      </c>
      <c r="H232" s="90" t="s">
        <v>99</v>
      </c>
      <c r="I232" s="1"/>
      <c r="J232" s="2">
        <f t="shared" ref="J232:M233" si="130">J233</f>
        <v>100000</v>
      </c>
      <c r="K232" s="2">
        <f t="shared" si="130"/>
        <v>0</v>
      </c>
      <c r="L232" s="80">
        <f t="shared" si="129"/>
        <v>100000</v>
      </c>
      <c r="M232" s="2">
        <f t="shared" si="130"/>
        <v>0</v>
      </c>
      <c r="N232" s="80">
        <f t="shared" si="126"/>
        <v>100000</v>
      </c>
    </row>
    <row r="233" spans="1:14" s="6" customFormat="1" ht="24" customHeight="1" x14ac:dyDescent="0.25">
      <c r="A233" s="17"/>
      <c r="B233" s="254" t="s">
        <v>28</v>
      </c>
      <c r="C233" s="246"/>
      <c r="D233" s="246"/>
      <c r="E233" s="262">
        <v>851</v>
      </c>
      <c r="F233" s="1" t="s">
        <v>86</v>
      </c>
      <c r="G233" s="126" t="s">
        <v>18</v>
      </c>
      <c r="H233" s="90" t="s">
        <v>99</v>
      </c>
      <c r="I233" s="1" t="s">
        <v>29</v>
      </c>
      <c r="J233" s="2">
        <f t="shared" si="130"/>
        <v>100000</v>
      </c>
      <c r="K233" s="2">
        <f t="shared" si="130"/>
        <v>0</v>
      </c>
      <c r="L233" s="80">
        <f t="shared" si="129"/>
        <v>100000</v>
      </c>
      <c r="M233" s="2">
        <f t="shared" si="130"/>
        <v>0</v>
      </c>
      <c r="N233" s="80">
        <f t="shared" si="126"/>
        <v>100000</v>
      </c>
    </row>
    <row r="234" spans="1:14" s="6" customFormat="1" ht="25.5" customHeight="1" x14ac:dyDescent="0.25">
      <c r="A234" s="17"/>
      <c r="B234" s="254" t="s">
        <v>30</v>
      </c>
      <c r="C234" s="247"/>
      <c r="D234" s="247"/>
      <c r="E234" s="262">
        <v>851</v>
      </c>
      <c r="F234" s="1" t="s">
        <v>86</v>
      </c>
      <c r="G234" s="126" t="s">
        <v>18</v>
      </c>
      <c r="H234" s="90" t="s">
        <v>99</v>
      </c>
      <c r="I234" s="1" t="s">
        <v>31</v>
      </c>
      <c r="J234" s="2">
        <f>'6 Вед15'!J145</f>
        <v>100000</v>
      </c>
      <c r="K234" s="2">
        <f>'6 Вед15'!K145</f>
        <v>0</v>
      </c>
      <c r="L234" s="80">
        <f t="shared" si="129"/>
        <v>100000</v>
      </c>
      <c r="M234" s="2">
        <f>'6 Вед15'!M145</f>
        <v>0</v>
      </c>
      <c r="N234" s="80">
        <f t="shared" si="126"/>
        <v>100000</v>
      </c>
    </row>
    <row r="235" spans="1:14" s="6" customFormat="1" ht="24.75" customHeight="1" x14ac:dyDescent="0.25">
      <c r="A235" s="552" t="s">
        <v>100</v>
      </c>
      <c r="B235" s="553"/>
      <c r="C235" s="247"/>
      <c r="D235" s="247"/>
      <c r="E235" s="262">
        <v>851</v>
      </c>
      <c r="F235" s="1" t="s">
        <v>86</v>
      </c>
      <c r="G235" s="126" t="s">
        <v>18</v>
      </c>
      <c r="H235" s="1" t="s">
        <v>732</v>
      </c>
      <c r="I235" s="1"/>
      <c r="J235" s="2">
        <f>J236</f>
        <v>200000</v>
      </c>
      <c r="K235" s="2">
        <f t="shared" ref="K235:N235" si="131">K236</f>
        <v>605000</v>
      </c>
      <c r="L235" s="2">
        <f t="shared" si="131"/>
        <v>805000</v>
      </c>
      <c r="M235" s="2">
        <f t="shared" si="131"/>
        <v>0</v>
      </c>
      <c r="N235" s="2">
        <f t="shared" si="131"/>
        <v>805000</v>
      </c>
    </row>
    <row r="236" spans="1:14" s="6" customFormat="1" ht="24.75" customHeight="1" x14ac:dyDescent="0.25">
      <c r="A236" s="17"/>
      <c r="B236" s="254" t="s">
        <v>28</v>
      </c>
      <c r="C236" s="246"/>
      <c r="D236" s="246"/>
      <c r="E236" s="262">
        <v>851</v>
      </c>
      <c r="F236" s="1" t="s">
        <v>86</v>
      </c>
      <c r="G236" s="126" t="s">
        <v>18</v>
      </c>
      <c r="H236" s="1" t="s">
        <v>732</v>
      </c>
      <c r="I236" s="1" t="s">
        <v>29</v>
      </c>
      <c r="J236" s="2">
        <f t="shared" ref="J236:M236" si="132">J237</f>
        <v>200000</v>
      </c>
      <c r="K236" s="2">
        <f t="shared" si="132"/>
        <v>605000</v>
      </c>
      <c r="L236" s="80">
        <f t="shared" si="129"/>
        <v>805000</v>
      </c>
      <c r="M236" s="2">
        <f t="shared" si="132"/>
        <v>0</v>
      </c>
      <c r="N236" s="80">
        <f t="shared" ref="N236:N298" si="133">L236+M236</f>
        <v>805000</v>
      </c>
    </row>
    <row r="237" spans="1:14" s="6" customFormat="1" ht="24.75" customHeight="1" x14ac:dyDescent="0.25">
      <c r="A237" s="17"/>
      <c r="B237" s="254" t="s">
        <v>30</v>
      </c>
      <c r="C237" s="247"/>
      <c r="D237" s="247"/>
      <c r="E237" s="262">
        <v>851</v>
      </c>
      <c r="F237" s="1" t="s">
        <v>86</v>
      </c>
      <c r="G237" s="126" t="s">
        <v>18</v>
      </c>
      <c r="H237" s="1" t="s">
        <v>732</v>
      </c>
      <c r="I237" s="1" t="s">
        <v>31</v>
      </c>
      <c r="J237" s="2">
        <f>'6 Вед15'!J148</f>
        <v>200000</v>
      </c>
      <c r="K237" s="2">
        <f>'6 Вед15'!K148</f>
        <v>605000</v>
      </c>
      <c r="L237" s="80">
        <f t="shared" si="129"/>
        <v>805000</v>
      </c>
      <c r="M237" s="2">
        <f>'6 Вед15'!M148</f>
        <v>0</v>
      </c>
      <c r="N237" s="80">
        <f t="shared" si="133"/>
        <v>805000</v>
      </c>
    </row>
    <row r="238" spans="1:14" s="6" customFormat="1" ht="13.5" customHeight="1" x14ac:dyDescent="0.25">
      <c r="A238" s="550" t="s">
        <v>101</v>
      </c>
      <c r="B238" s="551"/>
      <c r="C238" s="251"/>
      <c r="D238" s="251"/>
      <c r="E238" s="262">
        <v>851</v>
      </c>
      <c r="F238" s="12" t="s">
        <v>86</v>
      </c>
      <c r="G238" s="125" t="s">
        <v>7</v>
      </c>
      <c r="H238" s="13"/>
      <c r="I238" s="12"/>
      <c r="J238" s="25">
        <f t="shared" ref="J238:K238" si="134">J239+J242</f>
        <v>110400</v>
      </c>
      <c r="K238" s="25">
        <f t="shared" si="134"/>
        <v>0</v>
      </c>
      <c r="L238" s="80">
        <f t="shared" si="129"/>
        <v>110400</v>
      </c>
      <c r="M238" s="25">
        <f t="shared" ref="M238" si="135">M239+M242</f>
        <v>0</v>
      </c>
      <c r="N238" s="80">
        <f t="shared" si="133"/>
        <v>110400</v>
      </c>
    </row>
    <row r="239" spans="1:14" s="6" customFormat="1" ht="24" customHeight="1" x14ac:dyDescent="0.25">
      <c r="A239" s="552" t="s">
        <v>102</v>
      </c>
      <c r="B239" s="553"/>
      <c r="C239" s="247"/>
      <c r="D239" s="247"/>
      <c r="E239" s="262">
        <v>851</v>
      </c>
      <c r="F239" s="1" t="s">
        <v>86</v>
      </c>
      <c r="G239" s="126" t="s">
        <v>7</v>
      </c>
      <c r="H239" s="90" t="s">
        <v>103</v>
      </c>
      <c r="I239" s="1"/>
      <c r="J239" s="2">
        <f t="shared" ref="J239:M240" si="136">J240</f>
        <v>15000</v>
      </c>
      <c r="K239" s="2">
        <f t="shared" si="136"/>
        <v>0</v>
      </c>
      <c r="L239" s="80">
        <f t="shared" si="129"/>
        <v>15000</v>
      </c>
      <c r="M239" s="2">
        <f t="shared" si="136"/>
        <v>0</v>
      </c>
      <c r="N239" s="80">
        <f t="shared" si="133"/>
        <v>15000</v>
      </c>
    </row>
    <row r="240" spans="1:14" s="6" customFormat="1" ht="24" x14ac:dyDescent="0.25">
      <c r="A240" s="17"/>
      <c r="B240" s="254" t="s">
        <v>28</v>
      </c>
      <c r="C240" s="246"/>
      <c r="D240" s="246"/>
      <c r="E240" s="262">
        <v>851</v>
      </c>
      <c r="F240" s="1" t="s">
        <v>86</v>
      </c>
      <c r="G240" s="126" t="s">
        <v>7</v>
      </c>
      <c r="H240" s="90" t="s">
        <v>103</v>
      </c>
      <c r="I240" s="1" t="s">
        <v>29</v>
      </c>
      <c r="J240" s="2">
        <f t="shared" si="136"/>
        <v>15000</v>
      </c>
      <c r="K240" s="2">
        <f t="shared" si="136"/>
        <v>0</v>
      </c>
      <c r="L240" s="80">
        <f t="shared" si="129"/>
        <v>15000</v>
      </c>
      <c r="M240" s="2">
        <f t="shared" si="136"/>
        <v>0</v>
      </c>
      <c r="N240" s="80">
        <f t="shared" si="133"/>
        <v>15000</v>
      </c>
    </row>
    <row r="241" spans="1:14" s="6" customFormat="1" ht="24.75" customHeight="1" x14ac:dyDescent="0.25">
      <c r="A241" s="17"/>
      <c r="B241" s="254" t="s">
        <v>30</v>
      </c>
      <c r="C241" s="247"/>
      <c r="D241" s="247"/>
      <c r="E241" s="262">
        <v>851</v>
      </c>
      <c r="F241" s="1" t="s">
        <v>86</v>
      </c>
      <c r="G241" s="126" t="s">
        <v>7</v>
      </c>
      <c r="H241" s="90" t="s">
        <v>103</v>
      </c>
      <c r="I241" s="1" t="s">
        <v>31</v>
      </c>
      <c r="J241" s="2">
        <f>'6 Вед15'!J152</f>
        <v>15000</v>
      </c>
      <c r="K241" s="2">
        <f>'6 Вед15'!K152</f>
        <v>0</v>
      </c>
      <c r="L241" s="80">
        <f t="shared" si="129"/>
        <v>15000</v>
      </c>
      <c r="M241" s="2">
        <f>'6 Вед15'!M152</f>
        <v>0</v>
      </c>
      <c r="N241" s="80">
        <f t="shared" si="133"/>
        <v>15000</v>
      </c>
    </row>
    <row r="242" spans="1:14" s="6" customFormat="1" ht="60.75" customHeight="1" x14ac:dyDescent="0.25">
      <c r="A242" s="556" t="s">
        <v>88</v>
      </c>
      <c r="B242" s="557"/>
      <c r="C242" s="247"/>
      <c r="D242" s="247"/>
      <c r="E242" s="262">
        <v>853</v>
      </c>
      <c r="F242" s="1" t="s">
        <v>86</v>
      </c>
      <c r="G242" s="126" t="s">
        <v>18</v>
      </c>
      <c r="H242" s="1" t="s">
        <v>165</v>
      </c>
      <c r="I242" s="1"/>
      <c r="J242" s="2">
        <f t="shared" ref="J242:M243" si="137">J243</f>
        <v>95400</v>
      </c>
      <c r="K242" s="2">
        <f t="shared" si="137"/>
        <v>0</v>
      </c>
      <c r="L242" s="80">
        <f t="shared" si="129"/>
        <v>95400</v>
      </c>
      <c r="M242" s="2">
        <f t="shared" si="137"/>
        <v>0</v>
      </c>
      <c r="N242" s="80">
        <f t="shared" si="133"/>
        <v>95400</v>
      </c>
    </row>
    <row r="243" spans="1:14" s="6" customFormat="1" x14ac:dyDescent="0.25">
      <c r="A243" s="17"/>
      <c r="B243" s="247" t="s">
        <v>158</v>
      </c>
      <c r="C243" s="246"/>
      <c r="D243" s="246"/>
      <c r="E243" s="32">
        <v>853</v>
      </c>
      <c r="F243" s="1" t="s">
        <v>86</v>
      </c>
      <c r="G243" s="126" t="s">
        <v>7</v>
      </c>
      <c r="H243" s="1" t="s">
        <v>165</v>
      </c>
      <c r="I243" s="1" t="s">
        <v>159</v>
      </c>
      <c r="J243" s="2">
        <f t="shared" si="137"/>
        <v>95400</v>
      </c>
      <c r="K243" s="2">
        <f t="shared" si="137"/>
        <v>0</v>
      </c>
      <c r="L243" s="80">
        <f t="shared" si="129"/>
        <v>95400</v>
      </c>
      <c r="M243" s="2">
        <f t="shared" si="137"/>
        <v>0</v>
      </c>
      <c r="N243" s="80">
        <f t="shared" si="133"/>
        <v>95400</v>
      </c>
    </row>
    <row r="244" spans="1:14" s="6" customFormat="1" x14ac:dyDescent="0.25">
      <c r="A244" s="210"/>
      <c r="B244" s="247" t="s">
        <v>160</v>
      </c>
      <c r="C244" s="247"/>
      <c r="D244" s="247"/>
      <c r="E244" s="32">
        <v>853</v>
      </c>
      <c r="F244" s="1" t="s">
        <v>86</v>
      </c>
      <c r="G244" s="126" t="s">
        <v>7</v>
      </c>
      <c r="H244" s="1" t="s">
        <v>165</v>
      </c>
      <c r="I244" s="1" t="s">
        <v>161</v>
      </c>
      <c r="J244" s="2">
        <f>'6 Вед15'!J307</f>
        <v>95400</v>
      </c>
      <c r="K244" s="2">
        <f>'6 Вед15'!K307</f>
        <v>0</v>
      </c>
      <c r="L244" s="80">
        <f t="shared" si="129"/>
        <v>95400</v>
      </c>
      <c r="M244" s="2">
        <f>'6 Вед15'!M307</f>
        <v>0</v>
      </c>
      <c r="N244" s="80">
        <f t="shared" si="133"/>
        <v>95400</v>
      </c>
    </row>
    <row r="245" spans="1:14" s="6" customFormat="1" ht="12" customHeight="1" x14ac:dyDescent="0.25">
      <c r="A245" s="554" t="s">
        <v>104</v>
      </c>
      <c r="B245" s="555"/>
      <c r="C245" s="258"/>
      <c r="D245" s="258"/>
      <c r="E245" s="262">
        <v>851</v>
      </c>
      <c r="F245" s="7" t="s">
        <v>0</v>
      </c>
      <c r="G245" s="124"/>
      <c r="H245" s="8"/>
      <c r="I245" s="7"/>
      <c r="J245" s="9">
        <f>J246+J250+J257+J272</f>
        <v>20684071</v>
      </c>
      <c r="K245" s="9">
        <f>K246+K250+K257+K272</f>
        <v>0</v>
      </c>
      <c r="L245" s="80">
        <f t="shared" si="129"/>
        <v>20684071</v>
      </c>
      <c r="M245" s="9">
        <f>M246+M250+M257+M272</f>
        <v>283136</v>
      </c>
      <c r="N245" s="80">
        <f t="shared" si="133"/>
        <v>20967207</v>
      </c>
    </row>
    <row r="246" spans="1:14" s="6" customFormat="1" ht="12" customHeight="1" x14ac:dyDescent="0.25">
      <c r="A246" s="550" t="s">
        <v>105</v>
      </c>
      <c r="B246" s="551"/>
      <c r="C246" s="251"/>
      <c r="D246" s="251"/>
      <c r="E246" s="262">
        <v>851</v>
      </c>
      <c r="F246" s="12" t="s">
        <v>0</v>
      </c>
      <c r="G246" s="125" t="s">
        <v>18</v>
      </c>
      <c r="H246" s="13"/>
      <c r="I246" s="12"/>
      <c r="J246" s="14">
        <f t="shared" ref="J246:M247" si="138">J247</f>
        <v>2587000</v>
      </c>
      <c r="K246" s="14">
        <f t="shared" si="138"/>
        <v>0</v>
      </c>
      <c r="L246" s="80">
        <f t="shared" si="129"/>
        <v>2587000</v>
      </c>
      <c r="M246" s="14">
        <f t="shared" si="138"/>
        <v>115000</v>
      </c>
      <c r="N246" s="80">
        <f t="shared" si="133"/>
        <v>2702000</v>
      </c>
    </row>
    <row r="247" spans="1:14" s="6" customFormat="1" ht="49.5" customHeight="1" x14ac:dyDescent="0.25">
      <c r="A247" s="552" t="s">
        <v>106</v>
      </c>
      <c r="B247" s="553"/>
      <c r="C247" s="247"/>
      <c r="D247" s="247"/>
      <c r="E247" s="262">
        <v>851</v>
      </c>
      <c r="F247" s="1" t="s">
        <v>0</v>
      </c>
      <c r="G247" s="126" t="s">
        <v>18</v>
      </c>
      <c r="H247" s="90" t="s">
        <v>107</v>
      </c>
      <c r="I247" s="1"/>
      <c r="J247" s="2">
        <f t="shared" si="138"/>
        <v>2587000</v>
      </c>
      <c r="K247" s="2">
        <f t="shared" si="138"/>
        <v>0</v>
      </c>
      <c r="L247" s="80">
        <f t="shared" si="129"/>
        <v>2587000</v>
      </c>
      <c r="M247" s="2">
        <f t="shared" si="138"/>
        <v>115000</v>
      </c>
      <c r="N247" s="80">
        <f t="shared" si="133"/>
        <v>2702000</v>
      </c>
    </row>
    <row r="248" spans="1:14" s="6" customFormat="1" ht="24" x14ac:dyDescent="0.25">
      <c r="A248" s="255"/>
      <c r="B248" s="246" t="s">
        <v>108</v>
      </c>
      <c r="C248" s="246"/>
      <c r="D248" s="246"/>
      <c r="E248" s="262">
        <v>851</v>
      </c>
      <c r="F248" s="1" t="s">
        <v>0</v>
      </c>
      <c r="G248" s="126" t="s">
        <v>18</v>
      </c>
      <c r="H248" s="90" t="s">
        <v>107</v>
      </c>
      <c r="I248" s="1" t="s">
        <v>109</v>
      </c>
      <c r="J248" s="2">
        <f t="shared" ref="J248:M248" si="139">J249</f>
        <v>2587000</v>
      </c>
      <c r="K248" s="2">
        <f t="shared" si="139"/>
        <v>0</v>
      </c>
      <c r="L248" s="80">
        <f t="shared" si="129"/>
        <v>2587000</v>
      </c>
      <c r="M248" s="2">
        <f t="shared" si="139"/>
        <v>115000</v>
      </c>
      <c r="N248" s="80">
        <f t="shared" si="133"/>
        <v>2702000</v>
      </c>
    </row>
    <row r="249" spans="1:14" s="6" customFormat="1" ht="36" x14ac:dyDescent="0.25">
      <c r="A249" s="255"/>
      <c r="B249" s="246" t="s">
        <v>146</v>
      </c>
      <c r="C249" s="246"/>
      <c r="D249" s="246"/>
      <c r="E249" s="262">
        <v>851</v>
      </c>
      <c r="F249" s="1" t="s">
        <v>0</v>
      </c>
      <c r="G249" s="126" t="s">
        <v>18</v>
      </c>
      <c r="H249" s="90" t="s">
        <v>107</v>
      </c>
      <c r="I249" s="1" t="s">
        <v>110</v>
      </c>
      <c r="J249" s="2">
        <f>'6 Вед15'!J157</f>
        <v>2587000</v>
      </c>
      <c r="K249" s="2">
        <f>'6 Вед15'!K157</f>
        <v>0</v>
      </c>
      <c r="L249" s="80">
        <f t="shared" si="129"/>
        <v>2587000</v>
      </c>
      <c r="M249" s="2">
        <f>'6 Вед15'!M157</f>
        <v>115000</v>
      </c>
      <c r="N249" s="80">
        <f t="shared" si="133"/>
        <v>2702000</v>
      </c>
    </row>
    <row r="250" spans="1:14" s="6" customFormat="1" ht="12" customHeight="1" x14ac:dyDescent="0.25">
      <c r="A250" s="550" t="s">
        <v>111</v>
      </c>
      <c r="B250" s="551"/>
      <c r="C250" s="264"/>
      <c r="D250" s="264"/>
      <c r="E250" s="262">
        <v>851</v>
      </c>
      <c r="F250" s="12" t="s">
        <v>0</v>
      </c>
      <c r="G250" s="125" t="s">
        <v>4</v>
      </c>
      <c r="H250" s="13"/>
      <c r="I250" s="12"/>
      <c r="J250" s="14">
        <f>J251+J254</f>
        <v>675660</v>
      </c>
      <c r="K250" s="14">
        <f t="shared" ref="K250:M250" si="140">K251+K254</f>
        <v>0</v>
      </c>
      <c r="L250" s="80">
        <f t="shared" si="129"/>
        <v>675660</v>
      </c>
      <c r="M250" s="14">
        <f t="shared" si="140"/>
        <v>0</v>
      </c>
      <c r="N250" s="80">
        <f t="shared" si="133"/>
        <v>675660</v>
      </c>
    </row>
    <row r="251" spans="1:14" s="6" customFormat="1" ht="38.25" customHeight="1" x14ac:dyDescent="0.25">
      <c r="A251" s="556" t="s">
        <v>147</v>
      </c>
      <c r="B251" s="557"/>
      <c r="C251" s="264"/>
      <c r="D251" s="264"/>
      <c r="E251" s="262">
        <v>852</v>
      </c>
      <c r="F251" s="1" t="s">
        <v>0</v>
      </c>
      <c r="G251" s="126" t="s">
        <v>4</v>
      </c>
      <c r="H251" s="1" t="s">
        <v>148</v>
      </c>
      <c r="I251" s="12"/>
      <c r="J251" s="2">
        <f t="shared" ref="J251:M252" si="141">J252</f>
        <v>93000</v>
      </c>
      <c r="K251" s="2">
        <f t="shared" si="141"/>
        <v>0</v>
      </c>
      <c r="L251" s="80">
        <f t="shared" si="129"/>
        <v>93000</v>
      </c>
      <c r="M251" s="2">
        <f t="shared" si="141"/>
        <v>0</v>
      </c>
      <c r="N251" s="80">
        <f t="shared" si="133"/>
        <v>93000</v>
      </c>
    </row>
    <row r="252" spans="1:14" s="6" customFormat="1" ht="24" x14ac:dyDescent="0.25">
      <c r="A252" s="17"/>
      <c r="B252" s="246" t="s">
        <v>108</v>
      </c>
      <c r="C252" s="246"/>
      <c r="D252" s="246"/>
      <c r="E252" s="262">
        <v>852</v>
      </c>
      <c r="F252" s="1" t="s">
        <v>0</v>
      </c>
      <c r="G252" s="126" t="s">
        <v>4</v>
      </c>
      <c r="H252" s="1" t="s">
        <v>148</v>
      </c>
      <c r="I252" s="1" t="s">
        <v>109</v>
      </c>
      <c r="J252" s="2">
        <f t="shared" si="141"/>
        <v>93000</v>
      </c>
      <c r="K252" s="2">
        <f t="shared" si="141"/>
        <v>0</v>
      </c>
      <c r="L252" s="80">
        <f t="shared" si="129"/>
        <v>93000</v>
      </c>
      <c r="M252" s="2">
        <f t="shared" si="141"/>
        <v>0</v>
      </c>
      <c r="N252" s="80">
        <f t="shared" si="133"/>
        <v>93000</v>
      </c>
    </row>
    <row r="253" spans="1:14" s="6" customFormat="1" ht="36" x14ac:dyDescent="0.25">
      <c r="A253" s="247"/>
      <c r="B253" s="246" t="s">
        <v>146</v>
      </c>
      <c r="C253" s="246"/>
      <c r="D253" s="246"/>
      <c r="E253" s="262">
        <v>852</v>
      </c>
      <c r="F253" s="1" t="s">
        <v>0</v>
      </c>
      <c r="G253" s="126" t="s">
        <v>4</v>
      </c>
      <c r="H253" s="1" t="s">
        <v>148</v>
      </c>
      <c r="I253" s="1" t="s">
        <v>110</v>
      </c>
      <c r="J253" s="2">
        <f>'6 Вед15'!J241</f>
        <v>93000</v>
      </c>
      <c r="K253" s="2">
        <f>'6 Вед15'!K241</f>
        <v>0</v>
      </c>
      <c r="L253" s="80">
        <f t="shared" si="129"/>
        <v>93000</v>
      </c>
      <c r="M253" s="2">
        <f>'6 Вед15'!M241</f>
        <v>0</v>
      </c>
      <c r="N253" s="80">
        <f t="shared" si="133"/>
        <v>93000</v>
      </c>
    </row>
    <row r="254" spans="1:14" s="6" customFormat="1" ht="24.75" customHeight="1" x14ac:dyDescent="0.25">
      <c r="A254" s="560" t="s">
        <v>150</v>
      </c>
      <c r="B254" s="561"/>
      <c r="C254" s="246"/>
      <c r="D254" s="246"/>
      <c r="E254" s="262">
        <v>852</v>
      </c>
      <c r="F254" s="1" t="s">
        <v>0</v>
      </c>
      <c r="G254" s="126" t="s">
        <v>4</v>
      </c>
      <c r="H254" s="1" t="s">
        <v>151</v>
      </c>
      <c r="I254" s="1"/>
      <c r="J254" s="2">
        <f t="shared" ref="J254:M255" si="142">J255</f>
        <v>582660</v>
      </c>
      <c r="K254" s="2">
        <f t="shared" si="142"/>
        <v>0</v>
      </c>
      <c r="L254" s="80">
        <f t="shared" si="129"/>
        <v>582660</v>
      </c>
      <c r="M254" s="2">
        <f t="shared" si="142"/>
        <v>0</v>
      </c>
      <c r="N254" s="80">
        <f t="shared" si="133"/>
        <v>582660</v>
      </c>
    </row>
    <row r="255" spans="1:14" s="6" customFormat="1" ht="24" x14ac:dyDescent="0.25">
      <c r="A255" s="255"/>
      <c r="B255" s="246" t="s">
        <v>108</v>
      </c>
      <c r="C255" s="246"/>
      <c r="D255" s="246"/>
      <c r="E255" s="262">
        <v>852</v>
      </c>
      <c r="F255" s="1" t="s">
        <v>0</v>
      </c>
      <c r="G255" s="126" t="s">
        <v>4</v>
      </c>
      <c r="H255" s="1" t="s">
        <v>151</v>
      </c>
      <c r="I255" s="1" t="s">
        <v>109</v>
      </c>
      <c r="J255" s="2">
        <f t="shared" si="142"/>
        <v>582660</v>
      </c>
      <c r="K255" s="2">
        <f t="shared" si="142"/>
        <v>0</v>
      </c>
      <c r="L255" s="80">
        <f t="shared" si="129"/>
        <v>582660</v>
      </c>
      <c r="M255" s="2">
        <f t="shared" si="142"/>
        <v>0</v>
      </c>
      <c r="N255" s="80">
        <f t="shared" si="133"/>
        <v>582660</v>
      </c>
    </row>
    <row r="256" spans="1:14" s="6" customFormat="1" ht="14.25" customHeight="1" x14ac:dyDescent="0.25">
      <c r="A256" s="255"/>
      <c r="B256" s="246" t="s">
        <v>152</v>
      </c>
      <c r="C256" s="246"/>
      <c r="D256" s="246"/>
      <c r="E256" s="262">
        <v>852</v>
      </c>
      <c r="F256" s="1" t="s">
        <v>0</v>
      </c>
      <c r="G256" s="126" t="s">
        <v>4</v>
      </c>
      <c r="H256" s="1" t="s">
        <v>151</v>
      </c>
      <c r="I256" s="1" t="s">
        <v>153</v>
      </c>
      <c r="J256" s="2">
        <f>'6 Вед15'!J161</f>
        <v>582660</v>
      </c>
      <c r="K256" s="2">
        <f>'6 Вед15'!K161</f>
        <v>0</v>
      </c>
      <c r="L256" s="80">
        <f t="shared" si="129"/>
        <v>582660</v>
      </c>
      <c r="M256" s="2">
        <f>'6 Вед15'!M161</f>
        <v>0</v>
      </c>
      <c r="N256" s="80">
        <f t="shared" si="133"/>
        <v>582660</v>
      </c>
    </row>
    <row r="257" spans="1:14" s="6" customFormat="1" ht="12" customHeight="1" x14ac:dyDescent="0.25">
      <c r="A257" s="550" t="s">
        <v>112</v>
      </c>
      <c r="B257" s="551"/>
      <c r="C257" s="251"/>
      <c r="D257" s="251"/>
      <c r="E257" s="262">
        <v>851</v>
      </c>
      <c r="F257" s="12" t="s">
        <v>0</v>
      </c>
      <c r="G257" s="125" t="s">
        <v>7</v>
      </c>
      <c r="H257" s="13"/>
      <c r="I257" s="12"/>
      <c r="J257" s="14">
        <f t="shared" ref="J257:K257" si="143">J258+J261+J266+J269</f>
        <v>15982611</v>
      </c>
      <c r="K257" s="14">
        <f t="shared" si="143"/>
        <v>0</v>
      </c>
      <c r="L257" s="80">
        <f t="shared" si="129"/>
        <v>15982611</v>
      </c>
      <c r="M257" s="14">
        <f t="shared" ref="M257" si="144">M258+M261+M266+M269</f>
        <v>249959</v>
      </c>
      <c r="N257" s="80">
        <f t="shared" si="133"/>
        <v>16232570</v>
      </c>
    </row>
    <row r="258" spans="1:14" s="6" customFormat="1" ht="47.25" customHeight="1" x14ac:dyDescent="0.25">
      <c r="A258" s="556" t="s">
        <v>599</v>
      </c>
      <c r="B258" s="557"/>
      <c r="C258" s="251"/>
      <c r="D258" s="251"/>
      <c r="E258" s="262">
        <v>852</v>
      </c>
      <c r="F258" s="1" t="s">
        <v>0</v>
      </c>
      <c r="G258" s="126" t="s">
        <v>7</v>
      </c>
      <c r="H258" s="1" t="s">
        <v>154</v>
      </c>
      <c r="I258" s="12"/>
      <c r="J258" s="2">
        <f t="shared" ref="J258:M259" si="145">J259</f>
        <v>836736</v>
      </c>
      <c r="K258" s="2">
        <f t="shared" si="145"/>
        <v>0</v>
      </c>
      <c r="L258" s="80">
        <f t="shared" si="129"/>
        <v>836736</v>
      </c>
      <c r="M258" s="2">
        <f t="shared" si="145"/>
        <v>249959</v>
      </c>
      <c r="N258" s="80">
        <f t="shared" si="133"/>
        <v>1086695</v>
      </c>
    </row>
    <row r="259" spans="1:14" s="6" customFormat="1" ht="24" x14ac:dyDescent="0.25">
      <c r="A259" s="17"/>
      <c r="B259" s="246" t="s">
        <v>108</v>
      </c>
      <c r="C259" s="246"/>
      <c r="D259" s="246"/>
      <c r="E259" s="262">
        <v>852</v>
      </c>
      <c r="F259" s="1" t="s">
        <v>0</v>
      </c>
      <c r="G259" s="126" t="s">
        <v>7</v>
      </c>
      <c r="H259" s="1" t="s">
        <v>154</v>
      </c>
      <c r="I259" s="1" t="s">
        <v>109</v>
      </c>
      <c r="J259" s="2">
        <f t="shared" si="145"/>
        <v>836736</v>
      </c>
      <c r="K259" s="2">
        <f t="shared" si="145"/>
        <v>0</v>
      </c>
      <c r="L259" s="80">
        <f t="shared" si="129"/>
        <v>836736</v>
      </c>
      <c r="M259" s="2">
        <f t="shared" si="145"/>
        <v>249959</v>
      </c>
      <c r="N259" s="80">
        <f t="shared" si="133"/>
        <v>1086695</v>
      </c>
    </row>
    <row r="260" spans="1:14" s="6" customFormat="1" ht="36" x14ac:dyDescent="0.25">
      <c r="A260" s="247"/>
      <c r="B260" s="246" t="s">
        <v>146</v>
      </c>
      <c r="C260" s="246"/>
      <c r="D260" s="246"/>
      <c r="E260" s="262">
        <v>852</v>
      </c>
      <c r="F260" s="1" t="s">
        <v>0</v>
      </c>
      <c r="G260" s="126" t="s">
        <v>7</v>
      </c>
      <c r="H260" s="1" t="s">
        <v>154</v>
      </c>
      <c r="I260" s="1" t="s">
        <v>110</v>
      </c>
      <c r="J260" s="2">
        <f>'6 Вед15'!J245</f>
        <v>836736</v>
      </c>
      <c r="K260" s="2">
        <f>'6 Вед15'!K245</f>
        <v>0</v>
      </c>
      <c r="L260" s="80">
        <f t="shared" si="129"/>
        <v>836736</v>
      </c>
      <c r="M260" s="2">
        <f>'6 Вед15'!M245</f>
        <v>249959</v>
      </c>
      <c r="N260" s="80">
        <f t="shared" si="133"/>
        <v>1086695</v>
      </c>
    </row>
    <row r="261" spans="1:14" s="6" customFormat="1" ht="63" customHeight="1" x14ac:dyDescent="0.25">
      <c r="A261" s="560" t="s">
        <v>3</v>
      </c>
      <c r="B261" s="561"/>
      <c r="C261" s="246"/>
      <c r="D261" s="246"/>
      <c r="E261" s="262">
        <v>852</v>
      </c>
      <c r="F261" s="1" t="s">
        <v>0</v>
      </c>
      <c r="G261" s="126" t="s">
        <v>7</v>
      </c>
      <c r="H261" s="1" t="s">
        <v>5</v>
      </c>
      <c r="I261" s="1"/>
      <c r="J261" s="2">
        <f t="shared" ref="J261:K261" si="146">J262+J264</f>
        <v>6976300</v>
      </c>
      <c r="K261" s="2">
        <f t="shared" si="146"/>
        <v>0</v>
      </c>
      <c r="L261" s="80">
        <f t="shared" si="129"/>
        <v>6976300</v>
      </c>
      <c r="M261" s="2">
        <f t="shared" ref="M261" si="147">M262+M264</f>
        <v>0</v>
      </c>
      <c r="N261" s="80">
        <f t="shared" si="133"/>
        <v>6976300</v>
      </c>
    </row>
    <row r="262" spans="1:14" s="6" customFormat="1" ht="25.5" customHeight="1" x14ac:dyDescent="0.25">
      <c r="A262" s="17"/>
      <c r="B262" s="254" t="s">
        <v>28</v>
      </c>
      <c r="C262" s="246"/>
      <c r="D262" s="246"/>
      <c r="E262" s="262">
        <v>852</v>
      </c>
      <c r="F262" s="1" t="s">
        <v>149</v>
      </c>
      <c r="G262" s="126" t="s">
        <v>7</v>
      </c>
      <c r="H262" s="1" t="s">
        <v>5</v>
      </c>
      <c r="I262" s="1" t="s">
        <v>29</v>
      </c>
      <c r="J262" s="2">
        <f t="shared" ref="J262:M262" si="148">J263</f>
        <v>1795108</v>
      </c>
      <c r="K262" s="2">
        <f t="shared" si="148"/>
        <v>0</v>
      </c>
      <c r="L262" s="80">
        <f t="shared" si="129"/>
        <v>1795108</v>
      </c>
      <c r="M262" s="2">
        <f t="shared" si="148"/>
        <v>0</v>
      </c>
      <c r="N262" s="80">
        <f t="shared" si="133"/>
        <v>1795108</v>
      </c>
    </row>
    <row r="263" spans="1:14" s="6" customFormat="1" ht="25.5" customHeight="1" x14ac:dyDescent="0.25">
      <c r="A263" s="17"/>
      <c r="B263" s="254" t="s">
        <v>30</v>
      </c>
      <c r="C263" s="247"/>
      <c r="D263" s="247"/>
      <c r="E263" s="262">
        <v>852</v>
      </c>
      <c r="F263" s="1" t="s">
        <v>149</v>
      </c>
      <c r="G263" s="126" t="s">
        <v>7</v>
      </c>
      <c r="H263" s="1" t="s">
        <v>5</v>
      </c>
      <c r="I263" s="1" t="s">
        <v>31</v>
      </c>
      <c r="J263" s="2">
        <f>'6 Вед15'!J248</f>
        <v>1795108</v>
      </c>
      <c r="K263" s="2">
        <f>'6 Вед15'!K248</f>
        <v>0</v>
      </c>
      <c r="L263" s="80">
        <f t="shared" si="129"/>
        <v>1795108</v>
      </c>
      <c r="M263" s="2">
        <f>'6 Вед15'!M248</f>
        <v>0</v>
      </c>
      <c r="N263" s="80">
        <f t="shared" si="133"/>
        <v>1795108</v>
      </c>
    </row>
    <row r="264" spans="1:14" s="6" customFormat="1" ht="25.5" customHeight="1" x14ac:dyDescent="0.25">
      <c r="A264" s="255"/>
      <c r="B264" s="246" t="s">
        <v>108</v>
      </c>
      <c r="C264" s="246"/>
      <c r="D264" s="246"/>
      <c r="E264" s="262">
        <v>852</v>
      </c>
      <c r="F264" s="1" t="s">
        <v>0</v>
      </c>
      <c r="G264" s="126" t="s">
        <v>7</v>
      </c>
      <c r="H264" s="1" t="s">
        <v>5</v>
      </c>
      <c r="I264" s="1" t="s">
        <v>109</v>
      </c>
      <c r="J264" s="2">
        <f t="shared" ref="J264:M264" si="149">J265</f>
        <v>5181192</v>
      </c>
      <c r="K264" s="2">
        <f t="shared" si="149"/>
        <v>0</v>
      </c>
      <c r="L264" s="80">
        <f t="shared" si="129"/>
        <v>5181192</v>
      </c>
      <c r="M264" s="2">
        <f t="shared" si="149"/>
        <v>0</v>
      </c>
      <c r="N264" s="80">
        <f t="shared" si="133"/>
        <v>5181192</v>
      </c>
    </row>
    <row r="265" spans="1:14" s="6" customFormat="1" ht="25.5" customHeight="1" x14ac:dyDescent="0.25">
      <c r="A265" s="255"/>
      <c r="B265" s="246" t="s">
        <v>379</v>
      </c>
      <c r="C265" s="246"/>
      <c r="D265" s="246"/>
      <c r="E265" s="262">
        <v>852</v>
      </c>
      <c r="F265" s="1" t="s">
        <v>0</v>
      </c>
      <c r="G265" s="126" t="s">
        <v>7</v>
      </c>
      <c r="H265" s="1" t="s">
        <v>5</v>
      </c>
      <c r="I265" s="1" t="s">
        <v>9</v>
      </c>
      <c r="J265" s="2">
        <f>'6 Вед15'!J250</f>
        <v>5181192</v>
      </c>
      <c r="K265" s="2">
        <f>'6 Вед15'!K250</f>
        <v>0</v>
      </c>
      <c r="L265" s="80">
        <f t="shared" si="129"/>
        <v>5181192</v>
      </c>
      <c r="M265" s="2">
        <f>'6 Вед15'!M250</f>
        <v>0</v>
      </c>
      <c r="N265" s="80">
        <f t="shared" si="133"/>
        <v>5181192</v>
      </c>
    </row>
    <row r="266" spans="1:14" s="26" customFormat="1" ht="84" customHeight="1" x14ac:dyDescent="0.25">
      <c r="A266" s="552" t="s">
        <v>598</v>
      </c>
      <c r="B266" s="553"/>
      <c r="C266" s="253"/>
      <c r="D266" s="247"/>
      <c r="E266" s="262">
        <v>851</v>
      </c>
      <c r="F266" s="20" t="s">
        <v>0</v>
      </c>
      <c r="G266" s="126" t="s">
        <v>7</v>
      </c>
      <c r="H266" s="20" t="s">
        <v>113</v>
      </c>
      <c r="I266" s="20"/>
      <c r="J266" s="24">
        <f t="shared" ref="J266:M267" si="150">J267</f>
        <v>8011575</v>
      </c>
      <c r="K266" s="24">
        <f t="shared" si="150"/>
        <v>0</v>
      </c>
      <c r="L266" s="80">
        <f t="shared" si="129"/>
        <v>8011575</v>
      </c>
      <c r="M266" s="24">
        <f t="shared" si="150"/>
        <v>0</v>
      </c>
      <c r="N266" s="80">
        <f t="shared" si="133"/>
        <v>8011575</v>
      </c>
    </row>
    <row r="267" spans="1:14" s="6" customFormat="1" ht="24" x14ac:dyDescent="0.25">
      <c r="A267" s="17"/>
      <c r="B267" s="246" t="s">
        <v>108</v>
      </c>
      <c r="C267" s="253"/>
      <c r="D267" s="253"/>
      <c r="E267" s="262">
        <v>851</v>
      </c>
      <c r="F267" s="20" t="s">
        <v>0</v>
      </c>
      <c r="G267" s="127" t="s">
        <v>7</v>
      </c>
      <c r="H267" s="20" t="s">
        <v>113</v>
      </c>
      <c r="I267" s="1" t="s">
        <v>109</v>
      </c>
      <c r="J267" s="2">
        <f t="shared" si="150"/>
        <v>8011575</v>
      </c>
      <c r="K267" s="2">
        <f t="shared" si="150"/>
        <v>0</v>
      </c>
      <c r="L267" s="80">
        <f t="shared" si="129"/>
        <v>8011575</v>
      </c>
      <c r="M267" s="2">
        <f t="shared" si="150"/>
        <v>0</v>
      </c>
      <c r="N267" s="80">
        <f t="shared" si="133"/>
        <v>8011575</v>
      </c>
    </row>
    <row r="268" spans="1:14" s="26" customFormat="1" ht="24.75" customHeight="1" x14ac:dyDescent="0.25">
      <c r="A268" s="247"/>
      <c r="B268" s="247" t="s">
        <v>114</v>
      </c>
      <c r="C268" s="253"/>
      <c r="D268" s="253"/>
      <c r="E268" s="262">
        <v>851</v>
      </c>
      <c r="F268" s="20" t="s">
        <v>0</v>
      </c>
      <c r="G268" s="127" t="s">
        <v>7</v>
      </c>
      <c r="H268" s="20" t="s">
        <v>113</v>
      </c>
      <c r="I268" s="20" t="s">
        <v>115</v>
      </c>
      <c r="J268" s="24">
        <f>'6 Вед15'!J165</f>
        <v>8011575</v>
      </c>
      <c r="K268" s="24">
        <f>'6 Вед15'!K165</f>
        <v>0</v>
      </c>
      <c r="L268" s="80">
        <f t="shared" si="129"/>
        <v>8011575</v>
      </c>
      <c r="M268" s="24">
        <f>'6 Вед15'!M165</f>
        <v>0</v>
      </c>
      <c r="N268" s="80">
        <f t="shared" si="133"/>
        <v>8011575</v>
      </c>
    </row>
    <row r="269" spans="1:14" s="6" customFormat="1" ht="74.25" customHeight="1" x14ac:dyDescent="0.25">
      <c r="A269" s="556" t="s">
        <v>6</v>
      </c>
      <c r="B269" s="557"/>
      <c r="C269" s="246"/>
      <c r="D269" s="246"/>
      <c r="E269" s="262">
        <v>852</v>
      </c>
      <c r="F269" s="1" t="s">
        <v>0</v>
      </c>
      <c r="G269" s="126" t="s">
        <v>7</v>
      </c>
      <c r="H269" s="1" t="s">
        <v>8</v>
      </c>
      <c r="I269" s="1"/>
      <c r="J269" s="2">
        <f t="shared" ref="J269:M269" si="151">J270</f>
        <v>158000</v>
      </c>
      <c r="K269" s="2">
        <f t="shared" si="151"/>
        <v>0</v>
      </c>
      <c r="L269" s="80">
        <f t="shared" si="129"/>
        <v>158000</v>
      </c>
      <c r="M269" s="2">
        <f t="shared" si="151"/>
        <v>0</v>
      </c>
      <c r="N269" s="80">
        <f t="shared" si="133"/>
        <v>158000</v>
      </c>
    </row>
    <row r="270" spans="1:14" s="6" customFormat="1" ht="24" x14ac:dyDescent="0.25">
      <c r="A270" s="255"/>
      <c r="B270" s="246" t="s">
        <v>108</v>
      </c>
      <c r="C270" s="246"/>
      <c r="D270" s="246"/>
      <c r="E270" s="262">
        <v>852</v>
      </c>
      <c r="F270" s="1" t="s">
        <v>0</v>
      </c>
      <c r="G270" s="126" t="s">
        <v>7</v>
      </c>
      <c r="H270" s="1" t="s">
        <v>8</v>
      </c>
      <c r="I270" s="1" t="s">
        <v>109</v>
      </c>
      <c r="J270" s="2">
        <f t="shared" ref="J270:M270" si="152">J271</f>
        <v>158000</v>
      </c>
      <c r="K270" s="2">
        <f t="shared" si="152"/>
        <v>0</v>
      </c>
      <c r="L270" s="80">
        <f t="shared" si="129"/>
        <v>158000</v>
      </c>
      <c r="M270" s="2">
        <f t="shared" si="152"/>
        <v>0</v>
      </c>
      <c r="N270" s="80">
        <f t="shared" si="133"/>
        <v>158000</v>
      </c>
    </row>
    <row r="271" spans="1:14" s="6" customFormat="1" ht="25.5" customHeight="1" x14ac:dyDescent="0.25">
      <c r="A271" s="255"/>
      <c r="B271" s="246" t="s">
        <v>379</v>
      </c>
      <c r="C271" s="246"/>
      <c r="D271" s="246"/>
      <c r="E271" s="262">
        <v>852</v>
      </c>
      <c r="F271" s="1" t="s">
        <v>0</v>
      </c>
      <c r="G271" s="126" t="s">
        <v>7</v>
      </c>
      <c r="H271" s="1" t="s">
        <v>8</v>
      </c>
      <c r="I271" s="1" t="s">
        <v>9</v>
      </c>
      <c r="J271" s="2">
        <f>'6 Вед15'!J253</f>
        <v>158000</v>
      </c>
      <c r="K271" s="2">
        <f>'6 Вед15'!K253</f>
        <v>0</v>
      </c>
      <c r="L271" s="80">
        <f t="shared" si="129"/>
        <v>158000</v>
      </c>
      <c r="M271" s="2">
        <f>'6 Вед15'!M253</f>
        <v>0</v>
      </c>
      <c r="N271" s="80">
        <f t="shared" si="133"/>
        <v>158000</v>
      </c>
    </row>
    <row r="272" spans="1:14" s="6" customFormat="1" ht="12" customHeight="1" x14ac:dyDescent="0.25">
      <c r="A272" s="550" t="s">
        <v>116</v>
      </c>
      <c r="B272" s="551"/>
      <c r="C272" s="251"/>
      <c r="D272" s="251"/>
      <c r="E272" s="262">
        <v>851</v>
      </c>
      <c r="F272" s="12" t="s">
        <v>0</v>
      </c>
      <c r="G272" s="125" t="s">
        <v>1</v>
      </c>
      <c r="H272" s="13"/>
      <c r="I272" s="12"/>
      <c r="J272" s="14">
        <f t="shared" ref="J272:K272" si="153">J273+J278+J283</f>
        <v>1438800</v>
      </c>
      <c r="K272" s="14">
        <f t="shared" si="153"/>
        <v>0</v>
      </c>
      <c r="L272" s="80">
        <f t="shared" si="129"/>
        <v>1438800</v>
      </c>
      <c r="M272" s="14">
        <f t="shared" ref="M272" si="154">M273+M278+M283</f>
        <v>-81823</v>
      </c>
      <c r="N272" s="80">
        <f t="shared" si="133"/>
        <v>1356977</v>
      </c>
    </row>
    <row r="273" spans="1:14" s="6" customFormat="1" ht="73.5" customHeight="1" x14ac:dyDescent="0.25">
      <c r="A273" s="552" t="s">
        <v>46</v>
      </c>
      <c r="B273" s="553"/>
      <c r="C273" s="262"/>
      <c r="D273" s="262"/>
      <c r="E273" s="262">
        <v>852</v>
      </c>
      <c r="F273" s="1" t="s">
        <v>0</v>
      </c>
      <c r="G273" s="126" t="s">
        <v>1</v>
      </c>
      <c r="H273" s="1" t="s">
        <v>155</v>
      </c>
      <c r="I273" s="1"/>
      <c r="J273" s="2">
        <f t="shared" ref="J273:K273" si="155">J274+J276</f>
        <v>510800</v>
      </c>
      <c r="K273" s="2">
        <f t="shared" si="155"/>
        <v>0</v>
      </c>
      <c r="L273" s="80">
        <f t="shared" si="129"/>
        <v>510800</v>
      </c>
      <c r="M273" s="2">
        <f t="shared" ref="M273" si="156">M274+M276</f>
        <v>-35763</v>
      </c>
      <c r="N273" s="80">
        <f t="shared" si="133"/>
        <v>475037</v>
      </c>
    </row>
    <row r="274" spans="1:14" s="6" customFormat="1" ht="51" customHeight="1" x14ac:dyDescent="0.25">
      <c r="A274" s="17"/>
      <c r="B274" s="246" t="s">
        <v>22</v>
      </c>
      <c r="C274" s="262"/>
      <c r="D274" s="262"/>
      <c r="E274" s="262">
        <v>852</v>
      </c>
      <c r="F274" s="20" t="s">
        <v>0</v>
      </c>
      <c r="G274" s="127" t="s">
        <v>1</v>
      </c>
      <c r="H274" s="1" t="s">
        <v>155</v>
      </c>
      <c r="I274" s="1" t="s">
        <v>24</v>
      </c>
      <c r="J274" s="2">
        <f t="shared" ref="J274:M274" si="157">J275</f>
        <v>379550</v>
      </c>
      <c r="K274" s="2">
        <f t="shared" si="157"/>
        <v>0</v>
      </c>
      <c r="L274" s="80">
        <f t="shared" si="129"/>
        <v>379550</v>
      </c>
      <c r="M274" s="2">
        <f t="shared" si="157"/>
        <v>0</v>
      </c>
      <c r="N274" s="80">
        <f t="shared" si="133"/>
        <v>379550</v>
      </c>
    </row>
    <row r="275" spans="1:14" s="6" customFormat="1" ht="26.25" customHeight="1" x14ac:dyDescent="0.25">
      <c r="A275" s="17"/>
      <c r="B275" s="246" t="s">
        <v>25</v>
      </c>
      <c r="C275" s="262"/>
      <c r="D275" s="262"/>
      <c r="E275" s="262">
        <v>852</v>
      </c>
      <c r="F275" s="20" t="s">
        <v>0</v>
      </c>
      <c r="G275" s="127" t="s">
        <v>1</v>
      </c>
      <c r="H275" s="1" t="s">
        <v>155</v>
      </c>
      <c r="I275" s="1" t="s">
        <v>26</v>
      </c>
      <c r="J275" s="2">
        <f>'6 Вед15'!J257</f>
        <v>379550</v>
      </c>
      <c r="K275" s="2">
        <f>'6 Вед15'!K257</f>
        <v>0</v>
      </c>
      <c r="L275" s="80">
        <f t="shared" si="129"/>
        <v>379550</v>
      </c>
      <c r="M275" s="2">
        <f>'6 Вед15'!M257</f>
        <v>0</v>
      </c>
      <c r="N275" s="80">
        <f t="shared" si="133"/>
        <v>379550</v>
      </c>
    </row>
    <row r="276" spans="1:14" s="6" customFormat="1" ht="26.25" customHeight="1" x14ac:dyDescent="0.25">
      <c r="A276" s="17"/>
      <c r="B276" s="254" t="s">
        <v>28</v>
      </c>
      <c r="C276" s="262"/>
      <c r="D276" s="262"/>
      <c r="E276" s="262">
        <v>852</v>
      </c>
      <c r="F276" s="20" t="s">
        <v>0</v>
      </c>
      <c r="G276" s="127" t="s">
        <v>1</v>
      </c>
      <c r="H276" s="1" t="s">
        <v>155</v>
      </c>
      <c r="I276" s="1" t="s">
        <v>29</v>
      </c>
      <c r="J276" s="2">
        <f>'6 Вед15'!J258</f>
        <v>131250</v>
      </c>
      <c r="K276" s="2">
        <f>'6 Вед15'!K258</f>
        <v>0</v>
      </c>
      <c r="L276" s="80">
        <f t="shared" si="129"/>
        <v>131250</v>
      </c>
      <c r="M276" s="2">
        <f>'6 Вед15'!M258</f>
        <v>-35763</v>
      </c>
      <c r="N276" s="80">
        <f t="shared" si="133"/>
        <v>95487</v>
      </c>
    </row>
    <row r="277" spans="1:14" s="6" customFormat="1" ht="24.75" customHeight="1" x14ac:dyDescent="0.25">
      <c r="A277" s="17"/>
      <c r="B277" s="254" t="s">
        <v>30</v>
      </c>
      <c r="C277" s="262"/>
      <c r="D277" s="262"/>
      <c r="E277" s="262">
        <v>852</v>
      </c>
      <c r="F277" s="20" t="s">
        <v>0</v>
      </c>
      <c r="G277" s="127" t="s">
        <v>1</v>
      </c>
      <c r="H277" s="1" t="s">
        <v>155</v>
      </c>
      <c r="I277" s="1" t="s">
        <v>31</v>
      </c>
      <c r="J277" s="2">
        <f>'6 Вед15'!J259</f>
        <v>131250</v>
      </c>
      <c r="K277" s="2">
        <f>'6 Вед15'!K259</f>
        <v>0</v>
      </c>
      <c r="L277" s="80">
        <f t="shared" si="129"/>
        <v>131250</v>
      </c>
      <c r="M277" s="2">
        <f>'6 Вед15'!M259</f>
        <v>-35763</v>
      </c>
      <c r="N277" s="80">
        <f t="shared" si="133"/>
        <v>95487</v>
      </c>
    </row>
    <row r="278" spans="1:14" s="6" customFormat="1" ht="61.5" customHeight="1" x14ac:dyDescent="0.25">
      <c r="A278" s="560" t="s">
        <v>3</v>
      </c>
      <c r="B278" s="561"/>
      <c r="C278" s="246"/>
      <c r="D278" s="246"/>
      <c r="E278" s="262">
        <v>852</v>
      </c>
      <c r="F278" s="1" t="s">
        <v>0</v>
      </c>
      <c r="G278" s="126" t="s">
        <v>1</v>
      </c>
      <c r="H278" s="1" t="s">
        <v>5</v>
      </c>
      <c r="I278" s="1"/>
      <c r="J278" s="2">
        <f t="shared" ref="J278:K278" si="158">J279+J281</f>
        <v>658000</v>
      </c>
      <c r="K278" s="2">
        <f t="shared" si="158"/>
        <v>0</v>
      </c>
      <c r="L278" s="80">
        <f t="shared" si="129"/>
        <v>658000</v>
      </c>
      <c r="M278" s="2">
        <f t="shared" ref="M278" si="159">M279+M281</f>
        <v>-46060</v>
      </c>
      <c r="N278" s="80">
        <f t="shared" si="133"/>
        <v>611940</v>
      </c>
    </row>
    <row r="279" spans="1:14" s="6" customFormat="1" ht="49.5" customHeight="1" x14ac:dyDescent="0.25">
      <c r="A279" s="247"/>
      <c r="B279" s="246" t="s">
        <v>22</v>
      </c>
      <c r="C279" s="247"/>
      <c r="D279" s="247"/>
      <c r="E279" s="262">
        <v>852</v>
      </c>
      <c r="F279" s="20" t="s">
        <v>0</v>
      </c>
      <c r="G279" s="127" t="s">
        <v>1</v>
      </c>
      <c r="H279" s="1" t="s">
        <v>5</v>
      </c>
      <c r="I279" s="1" t="s">
        <v>24</v>
      </c>
      <c r="J279" s="2">
        <f t="shared" ref="J279:M279" si="160">J280</f>
        <v>420900</v>
      </c>
      <c r="K279" s="2">
        <f t="shared" si="160"/>
        <v>0</v>
      </c>
      <c r="L279" s="80">
        <f t="shared" si="129"/>
        <v>420900</v>
      </c>
      <c r="M279" s="2">
        <f t="shared" si="160"/>
        <v>0</v>
      </c>
      <c r="N279" s="80">
        <f t="shared" si="133"/>
        <v>420900</v>
      </c>
    </row>
    <row r="280" spans="1:14" s="6" customFormat="1" ht="27.75" customHeight="1" x14ac:dyDescent="0.25">
      <c r="A280" s="17"/>
      <c r="B280" s="246" t="s">
        <v>25</v>
      </c>
      <c r="C280" s="246"/>
      <c r="D280" s="246"/>
      <c r="E280" s="262">
        <v>852</v>
      </c>
      <c r="F280" s="20" t="s">
        <v>0</v>
      </c>
      <c r="G280" s="127" t="s">
        <v>1</v>
      </c>
      <c r="H280" s="1" t="s">
        <v>5</v>
      </c>
      <c r="I280" s="1" t="s">
        <v>26</v>
      </c>
      <c r="J280" s="2">
        <f>'6 Вед15'!J262</f>
        <v>420900</v>
      </c>
      <c r="K280" s="2">
        <f>'6 Вед15'!K262</f>
        <v>0</v>
      </c>
      <c r="L280" s="80">
        <f t="shared" si="129"/>
        <v>420900</v>
      </c>
      <c r="M280" s="2">
        <f>'6 Вед15'!M262</f>
        <v>0</v>
      </c>
      <c r="N280" s="80">
        <f t="shared" si="133"/>
        <v>420900</v>
      </c>
    </row>
    <row r="281" spans="1:14" s="6" customFormat="1" ht="27.75" customHeight="1" x14ac:dyDescent="0.25">
      <c r="A281" s="17"/>
      <c r="B281" s="254" t="s">
        <v>28</v>
      </c>
      <c r="C281" s="246"/>
      <c r="D281" s="246"/>
      <c r="E281" s="262">
        <v>852</v>
      </c>
      <c r="F281" s="20" t="s">
        <v>0</v>
      </c>
      <c r="G281" s="127" t="s">
        <v>1</v>
      </c>
      <c r="H281" s="1" t="s">
        <v>5</v>
      </c>
      <c r="I281" s="1" t="s">
        <v>29</v>
      </c>
      <c r="J281" s="2">
        <f>'6 Вед15'!J263</f>
        <v>237100</v>
      </c>
      <c r="K281" s="2">
        <f>'6 Вед15'!K263</f>
        <v>0</v>
      </c>
      <c r="L281" s="80">
        <f t="shared" si="129"/>
        <v>237100</v>
      </c>
      <c r="M281" s="2">
        <f>'6 Вед15'!M263</f>
        <v>-46060</v>
      </c>
      <c r="N281" s="80">
        <f t="shared" si="133"/>
        <v>191040</v>
      </c>
    </row>
    <row r="282" spans="1:14" s="6" customFormat="1" ht="27" customHeight="1" x14ac:dyDescent="0.25">
      <c r="A282" s="17"/>
      <c r="B282" s="254" t="s">
        <v>30</v>
      </c>
      <c r="C282" s="247"/>
      <c r="D282" s="247"/>
      <c r="E282" s="262">
        <v>852</v>
      </c>
      <c r="F282" s="20" t="s">
        <v>0</v>
      </c>
      <c r="G282" s="127" t="s">
        <v>1</v>
      </c>
      <c r="H282" s="1" t="s">
        <v>5</v>
      </c>
      <c r="I282" s="1" t="s">
        <v>31</v>
      </c>
      <c r="J282" s="2">
        <f>'6 Вед15'!J264</f>
        <v>237100</v>
      </c>
      <c r="K282" s="2">
        <f>'6 Вед15'!K264</f>
        <v>0</v>
      </c>
      <c r="L282" s="80">
        <f t="shared" si="129"/>
        <v>237100</v>
      </c>
      <c r="M282" s="2">
        <f>'6 Вед15'!M264</f>
        <v>-46060</v>
      </c>
      <c r="N282" s="80">
        <f t="shared" si="133"/>
        <v>191040</v>
      </c>
    </row>
    <row r="283" spans="1:14" s="6" customFormat="1" ht="23.25" customHeight="1" x14ac:dyDescent="0.25">
      <c r="A283" s="552" t="s">
        <v>117</v>
      </c>
      <c r="B283" s="553"/>
      <c r="C283" s="247"/>
      <c r="D283" s="247"/>
      <c r="E283" s="262">
        <v>851</v>
      </c>
      <c r="F283" s="1" t="s">
        <v>0</v>
      </c>
      <c r="G283" s="126" t="s">
        <v>1</v>
      </c>
      <c r="H283" s="91" t="s">
        <v>2</v>
      </c>
      <c r="I283" s="1"/>
      <c r="J283" s="2">
        <f t="shared" ref="J283:K283" si="161">J284+J286</f>
        <v>270000</v>
      </c>
      <c r="K283" s="2">
        <f t="shared" si="161"/>
        <v>0</v>
      </c>
      <c r="L283" s="80">
        <f t="shared" si="129"/>
        <v>270000</v>
      </c>
      <c r="M283" s="2">
        <f t="shared" ref="M283" si="162">M284+M286</f>
        <v>0</v>
      </c>
      <c r="N283" s="80">
        <f t="shared" si="133"/>
        <v>270000</v>
      </c>
    </row>
    <row r="284" spans="1:14" s="6" customFormat="1" ht="26.25" customHeight="1" x14ac:dyDescent="0.25">
      <c r="A284" s="17"/>
      <c r="B284" s="254" t="s">
        <v>28</v>
      </c>
      <c r="C284" s="246"/>
      <c r="D284" s="246"/>
      <c r="E284" s="262">
        <v>851</v>
      </c>
      <c r="F284" s="20" t="s">
        <v>0</v>
      </c>
      <c r="G284" s="126" t="s">
        <v>1</v>
      </c>
      <c r="H284" s="91" t="s">
        <v>2</v>
      </c>
      <c r="I284" s="1" t="s">
        <v>29</v>
      </c>
      <c r="J284" s="2">
        <f t="shared" ref="J284:M284" si="163">J285</f>
        <v>90000</v>
      </c>
      <c r="K284" s="2">
        <f t="shared" si="163"/>
        <v>0</v>
      </c>
      <c r="L284" s="80">
        <f t="shared" si="129"/>
        <v>90000</v>
      </c>
      <c r="M284" s="2">
        <f t="shared" si="163"/>
        <v>0</v>
      </c>
      <c r="N284" s="80">
        <f t="shared" si="133"/>
        <v>90000</v>
      </c>
    </row>
    <row r="285" spans="1:14" s="6" customFormat="1" ht="26.25" customHeight="1" x14ac:dyDescent="0.25">
      <c r="A285" s="17"/>
      <c r="B285" s="254" t="s">
        <v>30</v>
      </c>
      <c r="C285" s="247"/>
      <c r="D285" s="247"/>
      <c r="E285" s="262">
        <v>851</v>
      </c>
      <c r="F285" s="20" t="s">
        <v>0</v>
      </c>
      <c r="G285" s="126" t="s">
        <v>1</v>
      </c>
      <c r="H285" s="91" t="s">
        <v>2</v>
      </c>
      <c r="I285" s="1" t="s">
        <v>31</v>
      </c>
      <c r="J285" s="2">
        <f>'6 Вед15'!J168</f>
        <v>90000</v>
      </c>
      <c r="K285" s="2">
        <f>'6 Вед15'!K168</f>
        <v>0</v>
      </c>
      <c r="L285" s="80">
        <f t="shared" si="129"/>
        <v>90000</v>
      </c>
      <c r="M285" s="2">
        <f>'6 Вед15'!M168</f>
        <v>0</v>
      </c>
      <c r="N285" s="80">
        <f t="shared" si="133"/>
        <v>90000</v>
      </c>
    </row>
    <row r="286" spans="1:14" s="6" customFormat="1" ht="26.25" customHeight="1" x14ac:dyDescent="0.25">
      <c r="A286" s="255"/>
      <c r="B286" s="246" t="s">
        <v>108</v>
      </c>
      <c r="C286" s="246"/>
      <c r="D286" s="246"/>
      <c r="E286" s="262">
        <v>851</v>
      </c>
      <c r="F286" s="1" t="s">
        <v>0</v>
      </c>
      <c r="G286" s="126" t="s">
        <v>1</v>
      </c>
      <c r="H286" s="91" t="s">
        <v>2</v>
      </c>
      <c r="I286" s="1" t="s">
        <v>109</v>
      </c>
      <c r="J286" s="2">
        <f t="shared" ref="J286:M286" si="164">J287</f>
        <v>180000</v>
      </c>
      <c r="K286" s="2">
        <f t="shared" si="164"/>
        <v>0</v>
      </c>
      <c r="L286" s="80">
        <f t="shared" si="129"/>
        <v>180000</v>
      </c>
      <c r="M286" s="2">
        <f t="shared" si="164"/>
        <v>0</v>
      </c>
      <c r="N286" s="80">
        <f t="shared" si="133"/>
        <v>180000</v>
      </c>
    </row>
    <row r="287" spans="1:14" s="6" customFormat="1" ht="26.25" customHeight="1" x14ac:dyDescent="0.25">
      <c r="A287" s="255"/>
      <c r="B287" s="246" t="s">
        <v>379</v>
      </c>
      <c r="C287" s="246"/>
      <c r="D287" s="246"/>
      <c r="E287" s="262">
        <v>851</v>
      </c>
      <c r="F287" s="1" t="s">
        <v>0</v>
      </c>
      <c r="G287" s="126" t="s">
        <v>1</v>
      </c>
      <c r="H287" s="91" t="s">
        <v>2</v>
      </c>
      <c r="I287" s="1" t="s">
        <v>9</v>
      </c>
      <c r="J287" s="2">
        <f>'6 Вед15'!J171</f>
        <v>180000</v>
      </c>
      <c r="K287" s="2">
        <f>'6 Вед15'!K171</f>
        <v>0</v>
      </c>
      <c r="L287" s="80">
        <f t="shared" si="129"/>
        <v>180000</v>
      </c>
      <c r="M287" s="2">
        <f>'6 Вед15'!M171</f>
        <v>0</v>
      </c>
      <c r="N287" s="80">
        <f t="shared" si="133"/>
        <v>180000</v>
      </c>
    </row>
    <row r="288" spans="1:14" s="6" customFormat="1" ht="12" customHeight="1" x14ac:dyDescent="0.25">
      <c r="A288" s="554" t="s">
        <v>118</v>
      </c>
      <c r="B288" s="555"/>
      <c r="C288" s="258"/>
      <c r="D288" s="258"/>
      <c r="E288" s="262">
        <v>851</v>
      </c>
      <c r="F288" s="7" t="s">
        <v>39</v>
      </c>
      <c r="G288" s="124"/>
      <c r="H288" s="8"/>
      <c r="I288" s="7"/>
      <c r="J288" s="9">
        <f t="shared" ref="J288:M288" si="165">J289</f>
        <v>544000</v>
      </c>
      <c r="K288" s="9">
        <f t="shared" si="165"/>
        <v>0</v>
      </c>
      <c r="L288" s="80">
        <f t="shared" si="129"/>
        <v>544000</v>
      </c>
      <c r="M288" s="9">
        <f t="shared" si="165"/>
        <v>0</v>
      </c>
      <c r="N288" s="80">
        <f t="shared" si="133"/>
        <v>544000</v>
      </c>
    </row>
    <row r="289" spans="1:14" s="6" customFormat="1" x14ac:dyDescent="0.25">
      <c r="A289" s="566" t="s">
        <v>119</v>
      </c>
      <c r="B289" s="567"/>
      <c r="C289" s="259"/>
      <c r="D289" s="259"/>
      <c r="E289" s="262">
        <v>851</v>
      </c>
      <c r="F289" s="12" t="s">
        <v>39</v>
      </c>
      <c r="G289" s="125" t="s">
        <v>74</v>
      </c>
      <c r="H289" s="13"/>
      <c r="I289" s="12"/>
      <c r="J289" s="14">
        <f t="shared" ref="J289:K289" si="166">J290+J293</f>
        <v>544000</v>
      </c>
      <c r="K289" s="14">
        <f t="shared" si="166"/>
        <v>0</v>
      </c>
      <c r="L289" s="80">
        <f t="shared" si="129"/>
        <v>544000</v>
      </c>
      <c r="M289" s="14">
        <f t="shared" ref="M289" si="167">M290+M293</f>
        <v>0</v>
      </c>
      <c r="N289" s="80">
        <f t="shared" si="133"/>
        <v>544000</v>
      </c>
    </row>
    <row r="290" spans="1:14" s="27" customFormat="1" ht="12" customHeight="1" x14ac:dyDescent="0.25">
      <c r="A290" s="552" t="s">
        <v>120</v>
      </c>
      <c r="B290" s="553"/>
      <c r="C290" s="247"/>
      <c r="D290" s="247"/>
      <c r="E290" s="262">
        <v>851</v>
      </c>
      <c r="F290" s="1" t="s">
        <v>39</v>
      </c>
      <c r="G290" s="126" t="s">
        <v>74</v>
      </c>
      <c r="H290" s="91" t="s">
        <v>121</v>
      </c>
      <c r="I290" s="1"/>
      <c r="J290" s="2">
        <f t="shared" ref="J290:M290" si="168">J291</f>
        <v>260000</v>
      </c>
      <c r="K290" s="2">
        <f t="shared" si="168"/>
        <v>0</v>
      </c>
      <c r="L290" s="80">
        <f t="shared" si="129"/>
        <v>260000</v>
      </c>
      <c r="M290" s="2">
        <f t="shared" si="168"/>
        <v>0</v>
      </c>
      <c r="N290" s="80">
        <f t="shared" si="133"/>
        <v>260000</v>
      </c>
    </row>
    <row r="291" spans="1:14" s="6" customFormat="1" ht="24" customHeight="1" x14ac:dyDescent="0.25">
      <c r="A291" s="17"/>
      <c r="B291" s="254" t="s">
        <v>28</v>
      </c>
      <c r="C291" s="246"/>
      <c r="D291" s="246"/>
      <c r="E291" s="262">
        <v>851</v>
      </c>
      <c r="F291" s="1" t="s">
        <v>39</v>
      </c>
      <c r="G291" s="126" t="s">
        <v>74</v>
      </c>
      <c r="H291" s="91" t="s">
        <v>121</v>
      </c>
      <c r="I291" s="1" t="s">
        <v>29</v>
      </c>
      <c r="J291" s="2">
        <f t="shared" ref="J291:M291" si="169">J292</f>
        <v>260000</v>
      </c>
      <c r="K291" s="2">
        <f t="shared" si="169"/>
        <v>0</v>
      </c>
      <c r="L291" s="80">
        <f t="shared" si="129"/>
        <v>260000</v>
      </c>
      <c r="M291" s="2">
        <f t="shared" si="169"/>
        <v>0</v>
      </c>
      <c r="N291" s="80">
        <f t="shared" si="133"/>
        <v>260000</v>
      </c>
    </row>
    <row r="292" spans="1:14" s="6" customFormat="1" ht="24" customHeight="1" x14ac:dyDescent="0.25">
      <c r="A292" s="17"/>
      <c r="B292" s="254" t="s">
        <v>30</v>
      </c>
      <c r="C292" s="247"/>
      <c r="D292" s="247"/>
      <c r="E292" s="262">
        <v>851</v>
      </c>
      <c r="F292" s="1" t="s">
        <v>39</v>
      </c>
      <c r="G292" s="126" t="s">
        <v>74</v>
      </c>
      <c r="H292" s="91" t="s">
        <v>121</v>
      </c>
      <c r="I292" s="1" t="s">
        <v>31</v>
      </c>
      <c r="J292" s="2">
        <f>'6 Вед15'!J176</f>
        <v>260000</v>
      </c>
      <c r="K292" s="2">
        <f>'6 Вед15'!K176</f>
        <v>0</v>
      </c>
      <c r="L292" s="80">
        <f t="shared" si="129"/>
        <v>260000</v>
      </c>
      <c r="M292" s="2">
        <f>'6 Вед15'!M176</f>
        <v>0</v>
      </c>
      <c r="N292" s="80">
        <f t="shared" si="133"/>
        <v>260000</v>
      </c>
    </row>
    <row r="293" spans="1:14" s="6" customFormat="1" ht="48.75" customHeight="1" x14ac:dyDescent="0.25">
      <c r="A293" s="552" t="s">
        <v>610</v>
      </c>
      <c r="B293" s="553"/>
      <c r="C293" s="259"/>
      <c r="D293" s="259"/>
      <c r="E293" s="262">
        <v>851</v>
      </c>
      <c r="F293" s="1" t="s">
        <v>39</v>
      </c>
      <c r="G293" s="126" t="s">
        <v>74</v>
      </c>
      <c r="H293" s="1" t="s">
        <v>611</v>
      </c>
      <c r="I293" s="1"/>
      <c r="J293" s="2">
        <f t="shared" ref="J293:M294" si="170">J294</f>
        <v>284000</v>
      </c>
      <c r="K293" s="2">
        <f t="shared" si="170"/>
        <v>0</v>
      </c>
      <c r="L293" s="80">
        <f t="shared" ref="L293:L315" si="171">J293+K293</f>
        <v>284000</v>
      </c>
      <c r="M293" s="2">
        <f t="shared" si="170"/>
        <v>0</v>
      </c>
      <c r="N293" s="80">
        <f t="shared" si="133"/>
        <v>284000</v>
      </c>
    </row>
    <row r="294" spans="1:14" s="6" customFormat="1" ht="26.25" customHeight="1" x14ac:dyDescent="0.25">
      <c r="A294" s="17"/>
      <c r="B294" s="254" t="s">
        <v>28</v>
      </c>
      <c r="C294" s="259"/>
      <c r="D294" s="259"/>
      <c r="E294" s="262">
        <v>851</v>
      </c>
      <c r="F294" s="1" t="s">
        <v>39</v>
      </c>
      <c r="G294" s="126" t="s">
        <v>74</v>
      </c>
      <c r="H294" s="1" t="s">
        <v>611</v>
      </c>
      <c r="I294" s="1" t="s">
        <v>29</v>
      </c>
      <c r="J294" s="2">
        <f t="shared" si="170"/>
        <v>284000</v>
      </c>
      <c r="K294" s="2">
        <f t="shared" si="170"/>
        <v>0</v>
      </c>
      <c r="L294" s="80">
        <f t="shared" si="171"/>
        <v>284000</v>
      </c>
      <c r="M294" s="2">
        <f t="shared" si="170"/>
        <v>0</v>
      </c>
      <c r="N294" s="80">
        <f t="shared" si="133"/>
        <v>284000</v>
      </c>
    </row>
    <row r="295" spans="1:14" s="6" customFormat="1" ht="24.75" customHeight="1" x14ac:dyDescent="0.25">
      <c r="A295" s="17"/>
      <c r="B295" s="254" t="s">
        <v>30</v>
      </c>
      <c r="C295" s="259"/>
      <c r="D295" s="259"/>
      <c r="E295" s="262">
        <v>851</v>
      </c>
      <c r="F295" s="1" t="s">
        <v>39</v>
      </c>
      <c r="G295" s="126" t="s">
        <v>74</v>
      </c>
      <c r="H295" s="1" t="s">
        <v>611</v>
      </c>
      <c r="I295" s="1" t="s">
        <v>31</v>
      </c>
      <c r="J295" s="2">
        <f>'6 Вед15'!J179</f>
        <v>284000</v>
      </c>
      <c r="K295" s="2">
        <f>'6 Вед15'!K179</f>
        <v>0</v>
      </c>
      <c r="L295" s="80">
        <f t="shared" si="171"/>
        <v>284000</v>
      </c>
      <c r="M295" s="2">
        <f>'6 Вед15'!M179</f>
        <v>0</v>
      </c>
      <c r="N295" s="80">
        <f t="shared" si="133"/>
        <v>284000</v>
      </c>
    </row>
    <row r="296" spans="1:14" s="6" customFormat="1" ht="37.5" customHeight="1" x14ac:dyDescent="0.25">
      <c r="A296" s="554" t="s">
        <v>166</v>
      </c>
      <c r="B296" s="555"/>
      <c r="C296" s="211"/>
      <c r="D296" s="211"/>
      <c r="E296" s="32">
        <v>853</v>
      </c>
      <c r="F296" s="39" t="s">
        <v>167</v>
      </c>
      <c r="G296" s="130"/>
      <c r="H296" s="40"/>
      <c r="I296" s="39"/>
      <c r="J296" s="41">
        <f>J297+J303</f>
        <v>14489000</v>
      </c>
      <c r="K296" s="41">
        <f t="shared" ref="K296:M296" si="172">K297+K303</f>
        <v>0</v>
      </c>
      <c r="L296" s="80">
        <f t="shared" si="171"/>
        <v>14489000</v>
      </c>
      <c r="M296" s="41">
        <f t="shared" si="172"/>
        <v>-660700</v>
      </c>
      <c r="N296" s="80">
        <f t="shared" si="133"/>
        <v>13828300</v>
      </c>
    </row>
    <row r="297" spans="1:14" s="6" customFormat="1" ht="38.25" customHeight="1" x14ac:dyDescent="0.25">
      <c r="A297" s="550" t="s">
        <v>168</v>
      </c>
      <c r="B297" s="551"/>
      <c r="C297" s="263"/>
      <c r="D297" s="263"/>
      <c r="E297" s="32">
        <v>853</v>
      </c>
      <c r="F297" s="22" t="s">
        <v>167</v>
      </c>
      <c r="G297" s="128" t="s">
        <v>18</v>
      </c>
      <c r="H297" s="42"/>
      <c r="I297" s="22"/>
      <c r="J297" s="43">
        <f t="shared" ref="J297:N299" si="173">J298</f>
        <v>5882000</v>
      </c>
      <c r="K297" s="43">
        <f t="shared" si="173"/>
        <v>0</v>
      </c>
      <c r="L297" s="80">
        <f t="shared" si="171"/>
        <v>5882000</v>
      </c>
      <c r="M297" s="43">
        <f t="shared" si="173"/>
        <v>0</v>
      </c>
      <c r="N297" s="80">
        <f t="shared" si="133"/>
        <v>5882000</v>
      </c>
    </row>
    <row r="298" spans="1:14" s="6" customFormat="1" ht="13.5" customHeight="1" x14ac:dyDescent="0.25">
      <c r="A298" s="556" t="s">
        <v>169</v>
      </c>
      <c r="B298" s="557"/>
      <c r="C298" s="263"/>
      <c r="D298" s="263"/>
      <c r="E298" s="32">
        <v>853</v>
      </c>
      <c r="F298" s="22" t="s">
        <v>167</v>
      </c>
      <c r="G298" s="128" t="s">
        <v>18</v>
      </c>
      <c r="H298" s="20" t="s">
        <v>170</v>
      </c>
      <c r="I298" s="22"/>
      <c r="J298" s="44">
        <f t="shared" si="173"/>
        <v>5882000</v>
      </c>
      <c r="K298" s="44">
        <f t="shared" si="173"/>
        <v>0</v>
      </c>
      <c r="L298" s="80">
        <f t="shared" si="171"/>
        <v>5882000</v>
      </c>
      <c r="M298" s="44">
        <f t="shared" si="173"/>
        <v>0</v>
      </c>
      <c r="N298" s="80">
        <f t="shared" si="133"/>
        <v>5882000</v>
      </c>
    </row>
    <row r="299" spans="1:14" s="6" customFormat="1" x14ac:dyDescent="0.25">
      <c r="A299" s="17"/>
      <c r="B299" s="246" t="s">
        <v>158</v>
      </c>
      <c r="C299" s="256"/>
      <c r="D299" s="256"/>
      <c r="E299" s="32">
        <v>853</v>
      </c>
      <c r="F299" s="1" t="s">
        <v>167</v>
      </c>
      <c r="G299" s="126" t="s">
        <v>18</v>
      </c>
      <c r="H299" s="20" t="s">
        <v>170</v>
      </c>
      <c r="I299" s="1" t="s">
        <v>159</v>
      </c>
      <c r="J299" s="2">
        <f>J300</f>
        <v>5882000</v>
      </c>
      <c r="K299" s="2">
        <f t="shared" si="173"/>
        <v>0</v>
      </c>
      <c r="L299" s="2">
        <f t="shared" si="173"/>
        <v>5882000</v>
      </c>
      <c r="M299" s="2">
        <f t="shared" si="173"/>
        <v>0</v>
      </c>
      <c r="N299" s="2">
        <f t="shared" si="173"/>
        <v>5882000</v>
      </c>
    </row>
    <row r="300" spans="1:14" s="6" customFormat="1" x14ac:dyDescent="0.25">
      <c r="A300" s="17"/>
      <c r="B300" s="383" t="s">
        <v>759</v>
      </c>
      <c r="C300" s="389"/>
      <c r="D300" s="389"/>
      <c r="E300" s="32"/>
      <c r="F300" s="1" t="s">
        <v>167</v>
      </c>
      <c r="G300" s="126" t="s">
        <v>18</v>
      </c>
      <c r="H300" s="20" t="s">
        <v>170</v>
      </c>
      <c r="I300" s="1" t="s">
        <v>760</v>
      </c>
      <c r="J300" s="2">
        <f>J301+J302</f>
        <v>5882000</v>
      </c>
      <c r="K300" s="2">
        <f t="shared" ref="K300:L300" si="174">K301+K302</f>
        <v>0</v>
      </c>
      <c r="L300" s="2">
        <f t="shared" si="174"/>
        <v>5882000</v>
      </c>
      <c r="M300" s="2">
        <f t="shared" ref="M300:N300" si="175">M301+M302</f>
        <v>0</v>
      </c>
      <c r="N300" s="2">
        <f t="shared" si="175"/>
        <v>5882000</v>
      </c>
    </row>
    <row r="301" spans="1:14" s="6" customFormat="1" ht="13.5" customHeight="1" x14ac:dyDescent="0.25">
      <c r="A301" s="17"/>
      <c r="B301" s="383" t="s">
        <v>282</v>
      </c>
      <c r="C301" s="389"/>
      <c r="D301" s="389"/>
      <c r="E301" s="32"/>
      <c r="F301" s="1" t="s">
        <v>167</v>
      </c>
      <c r="G301" s="126" t="s">
        <v>18</v>
      </c>
      <c r="H301" s="20" t="s">
        <v>170</v>
      </c>
      <c r="I301" s="1" t="s">
        <v>758</v>
      </c>
      <c r="J301" s="2">
        <f>'6 Вед15'!J313</f>
        <v>0</v>
      </c>
      <c r="K301" s="2">
        <f>'6 Вед15'!K313</f>
        <v>5882000</v>
      </c>
      <c r="L301" s="80">
        <f t="shared" si="171"/>
        <v>5882000</v>
      </c>
      <c r="M301" s="2">
        <f>'6 Вед15'!M313</f>
        <v>0</v>
      </c>
      <c r="N301" s="80">
        <f t="shared" ref="N301:N304" si="176">L301+M301</f>
        <v>5882000</v>
      </c>
    </row>
    <row r="302" spans="1:14" s="6" customFormat="1" x14ac:dyDescent="0.25">
      <c r="A302" s="17"/>
      <c r="B302" s="247" t="s">
        <v>171</v>
      </c>
      <c r="C302" s="252"/>
      <c r="D302" s="252"/>
      <c r="E302" s="32">
        <v>853</v>
      </c>
      <c r="F302" s="1" t="s">
        <v>167</v>
      </c>
      <c r="G302" s="126" t="s">
        <v>18</v>
      </c>
      <c r="H302" s="20" t="s">
        <v>170</v>
      </c>
      <c r="I302" s="1" t="s">
        <v>172</v>
      </c>
      <c r="J302" s="2">
        <f>'6 Вед15'!J314</f>
        <v>5882000</v>
      </c>
      <c r="K302" s="2">
        <f>'6 Вед15'!K314</f>
        <v>-5882000</v>
      </c>
      <c r="L302" s="80">
        <f t="shared" si="171"/>
        <v>0</v>
      </c>
      <c r="M302" s="2">
        <f>'6 Вед15'!M314</f>
        <v>0</v>
      </c>
      <c r="N302" s="80">
        <f t="shared" si="176"/>
        <v>0</v>
      </c>
    </row>
    <row r="303" spans="1:14" s="6" customFormat="1" x14ac:dyDescent="0.25">
      <c r="A303" s="564" t="s">
        <v>173</v>
      </c>
      <c r="B303" s="565"/>
      <c r="C303" s="257"/>
      <c r="D303" s="257"/>
      <c r="E303" s="32">
        <v>853</v>
      </c>
      <c r="F303" s="12" t="s">
        <v>167</v>
      </c>
      <c r="G303" s="125" t="s">
        <v>74</v>
      </c>
      <c r="H303" s="13"/>
      <c r="I303" s="12"/>
      <c r="J303" s="14">
        <f>J304</f>
        <v>8607000</v>
      </c>
      <c r="K303" s="14">
        <f t="shared" ref="K303" si="177">K304</f>
        <v>0</v>
      </c>
      <c r="L303" s="80">
        <f>L304+L309</f>
        <v>8607000</v>
      </c>
      <c r="M303" s="80">
        <f t="shared" ref="M303:N303" si="178">M304+M309</f>
        <v>-660700</v>
      </c>
      <c r="N303" s="80">
        <f t="shared" si="178"/>
        <v>7946300</v>
      </c>
    </row>
    <row r="304" spans="1:14" s="6" customFormat="1" ht="26.25" customHeight="1" x14ac:dyDescent="0.25">
      <c r="A304" s="560" t="s">
        <v>174</v>
      </c>
      <c r="B304" s="561"/>
      <c r="C304" s="256"/>
      <c r="D304" s="256"/>
      <c r="E304" s="32">
        <v>853</v>
      </c>
      <c r="F304" s="1" t="s">
        <v>167</v>
      </c>
      <c r="G304" s="126" t="s">
        <v>74</v>
      </c>
      <c r="H304" s="1" t="s">
        <v>175</v>
      </c>
      <c r="I304" s="1"/>
      <c r="J304" s="2">
        <f t="shared" ref="J304:N305" si="179">J305</f>
        <v>8607000</v>
      </c>
      <c r="K304" s="2">
        <f t="shared" si="179"/>
        <v>0</v>
      </c>
      <c r="L304" s="80">
        <f t="shared" si="171"/>
        <v>8607000</v>
      </c>
      <c r="M304" s="2">
        <f t="shared" si="179"/>
        <v>-860700</v>
      </c>
      <c r="N304" s="80">
        <f t="shared" si="176"/>
        <v>7746300</v>
      </c>
    </row>
    <row r="305" spans="1:14" s="6" customFormat="1" x14ac:dyDescent="0.25">
      <c r="A305" s="17"/>
      <c r="B305" s="246" t="s">
        <v>158</v>
      </c>
      <c r="C305" s="49"/>
      <c r="D305" s="256"/>
      <c r="E305" s="32">
        <v>853</v>
      </c>
      <c r="F305" s="1" t="s">
        <v>167</v>
      </c>
      <c r="G305" s="126" t="s">
        <v>74</v>
      </c>
      <c r="H305" s="1" t="s">
        <v>175</v>
      </c>
      <c r="I305" s="1" t="s">
        <v>159</v>
      </c>
      <c r="J305" s="2">
        <f>J306</f>
        <v>8607000</v>
      </c>
      <c r="K305" s="2">
        <f t="shared" si="179"/>
        <v>0</v>
      </c>
      <c r="L305" s="2">
        <f t="shared" si="179"/>
        <v>8607000</v>
      </c>
      <c r="M305" s="2">
        <f t="shared" si="179"/>
        <v>-860700</v>
      </c>
      <c r="N305" s="2">
        <f t="shared" si="179"/>
        <v>7746300</v>
      </c>
    </row>
    <row r="306" spans="1:14" s="6" customFormat="1" x14ac:dyDescent="0.25">
      <c r="A306" s="17"/>
      <c r="B306" s="421" t="s">
        <v>794</v>
      </c>
      <c r="C306" s="49"/>
      <c r="D306" s="422"/>
      <c r="E306" s="32">
        <v>853</v>
      </c>
      <c r="F306" s="1" t="s">
        <v>167</v>
      </c>
      <c r="G306" s="1" t="s">
        <v>74</v>
      </c>
      <c r="H306" s="1" t="s">
        <v>175</v>
      </c>
      <c r="I306" s="1" t="s">
        <v>760</v>
      </c>
      <c r="J306" s="2">
        <f>J307+J308</f>
        <v>8607000</v>
      </c>
      <c r="K306" s="2">
        <f t="shared" ref="K306:L306" si="180">K307+K308</f>
        <v>0</v>
      </c>
      <c r="L306" s="2">
        <f t="shared" si="180"/>
        <v>8607000</v>
      </c>
      <c r="M306" s="2">
        <f t="shared" ref="M306:N306" si="181">M307+M308</f>
        <v>-860700</v>
      </c>
      <c r="N306" s="2">
        <f t="shared" si="181"/>
        <v>7746300</v>
      </c>
    </row>
    <row r="307" spans="1:14" s="6" customFormat="1" x14ac:dyDescent="0.25">
      <c r="A307" s="17"/>
      <c r="B307" s="421" t="s">
        <v>173</v>
      </c>
      <c r="C307" s="49"/>
      <c r="D307" s="422"/>
      <c r="E307" s="32"/>
      <c r="F307" s="1" t="s">
        <v>167</v>
      </c>
      <c r="G307" s="126" t="s">
        <v>74</v>
      </c>
      <c r="H307" s="1" t="s">
        <v>175</v>
      </c>
      <c r="I307" s="1" t="s">
        <v>793</v>
      </c>
      <c r="J307" s="2"/>
      <c r="K307" s="2">
        <f>'6 Вед15'!K319</f>
        <v>8607000</v>
      </c>
      <c r="L307" s="80">
        <f t="shared" si="171"/>
        <v>8607000</v>
      </c>
      <c r="M307" s="2">
        <f>'6 Вед15'!M319</f>
        <v>-860700</v>
      </c>
      <c r="N307" s="80">
        <f t="shared" ref="N307:N315" si="182">L307+M307</f>
        <v>7746300</v>
      </c>
    </row>
    <row r="308" spans="1:14" s="6" customFormat="1" x14ac:dyDescent="0.25">
      <c r="A308" s="17"/>
      <c r="B308" s="247" t="s">
        <v>171</v>
      </c>
      <c r="C308" s="47"/>
      <c r="D308" s="252"/>
      <c r="E308" s="32">
        <v>853</v>
      </c>
      <c r="F308" s="1" t="s">
        <v>167</v>
      </c>
      <c r="G308" s="126" t="s">
        <v>74</v>
      </c>
      <c r="H308" s="1" t="s">
        <v>175</v>
      </c>
      <c r="I308" s="1" t="s">
        <v>172</v>
      </c>
      <c r="J308" s="2">
        <f>'6 Вед15'!J320</f>
        <v>8607000</v>
      </c>
      <c r="K308" s="2">
        <f>'6 Вед15'!K320</f>
        <v>-8607000</v>
      </c>
      <c r="L308" s="80">
        <f t="shared" si="171"/>
        <v>0</v>
      </c>
      <c r="M308" s="2">
        <f>'6 Вед15'!M320</f>
        <v>0</v>
      </c>
      <c r="N308" s="80">
        <f t="shared" si="182"/>
        <v>0</v>
      </c>
    </row>
    <row r="309" spans="1:14" s="6" customFormat="1" ht="12.75" x14ac:dyDescent="0.25">
      <c r="A309" s="568" t="s">
        <v>836</v>
      </c>
      <c r="B309" s="569"/>
      <c r="C309" s="115"/>
      <c r="D309" s="115"/>
      <c r="E309" s="32"/>
      <c r="F309" s="1" t="s">
        <v>167</v>
      </c>
      <c r="G309" s="126" t="s">
        <v>74</v>
      </c>
      <c r="H309" s="491" t="s">
        <v>837</v>
      </c>
      <c r="I309" s="1"/>
      <c r="J309" s="2"/>
      <c r="K309" s="2"/>
      <c r="L309" s="2">
        <f t="shared" ref="L309:N309" si="183">L310+L313</f>
        <v>0</v>
      </c>
      <c r="M309" s="2">
        <f t="shared" si="183"/>
        <v>200000</v>
      </c>
      <c r="N309" s="2">
        <f t="shared" si="183"/>
        <v>200000</v>
      </c>
    </row>
    <row r="310" spans="1:14" s="6" customFormat="1" ht="12.75" x14ac:dyDescent="0.25">
      <c r="A310" s="477"/>
      <c r="B310" s="482" t="s">
        <v>158</v>
      </c>
      <c r="C310" s="115"/>
      <c r="D310" s="115"/>
      <c r="E310" s="32"/>
      <c r="F310" s="1" t="s">
        <v>167</v>
      </c>
      <c r="G310" s="1" t="s">
        <v>74</v>
      </c>
      <c r="H310" s="491" t="s">
        <v>837</v>
      </c>
      <c r="I310" s="1" t="s">
        <v>159</v>
      </c>
      <c r="J310" s="2"/>
      <c r="K310" s="2"/>
      <c r="L310" s="2">
        <f t="shared" ref="L310:N310" si="184">L312</f>
        <v>0</v>
      </c>
      <c r="M310" s="2">
        <f t="shared" si="184"/>
        <v>200000</v>
      </c>
      <c r="N310" s="2">
        <f t="shared" si="184"/>
        <v>200000</v>
      </c>
    </row>
    <row r="311" spans="1:14" s="6" customFormat="1" ht="12.75" x14ac:dyDescent="0.25">
      <c r="A311" s="486"/>
      <c r="B311" s="487" t="s">
        <v>794</v>
      </c>
      <c r="C311" s="115"/>
      <c r="D311" s="115"/>
      <c r="E311" s="32"/>
      <c r="F311" s="1" t="s">
        <v>839</v>
      </c>
      <c r="G311" s="126" t="s">
        <v>74</v>
      </c>
      <c r="H311" s="491" t="s">
        <v>837</v>
      </c>
      <c r="I311" s="1" t="s">
        <v>760</v>
      </c>
      <c r="J311" s="2"/>
      <c r="K311" s="2"/>
      <c r="L311" s="2">
        <f>L312</f>
        <v>0</v>
      </c>
      <c r="M311" s="2">
        <f t="shared" ref="M311:N311" si="185">M312</f>
        <v>200000</v>
      </c>
      <c r="N311" s="2">
        <f t="shared" si="185"/>
        <v>200000</v>
      </c>
    </row>
    <row r="312" spans="1:14" s="6" customFormat="1" ht="12.75" x14ac:dyDescent="0.25">
      <c r="A312" s="477"/>
      <c r="B312" s="473" t="s">
        <v>173</v>
      </c>
      <c r="C312" s="115"/>
      <c r="D312" s="115"/>
      <c r="E312" s="32"/>
      <c r="F312" s="1" t="s">
        <v>167</v>
      </c>
      <c r="G312" s="126" t="s">
        <v>74</v>
      </c>
      <c r="H312" s="491" t="s">
        <v>837</v>
      </c>
      <c r="I312" s="1" t="s">
        <v>793</v>
      </c>
      <c r="J312" s="2"/>
      <c r="K312" s="2"/>
      <c r="L312" s="2">
        <v>0</v>
      </c>
      <c r="M312" s="2">
        <f>'6 Вед15'!M324</f>
        <v>200000</v>
      </c>
      <c r="N312" s="2">
        <f t="shared" ref="N312" si="186">L312+M312</f>
        <v>200000</v>
      </c>
    </row>
    <row r="313" spans="1:14" ht="12" hidden="1" customHeight="1" x14ac:dyDescent="0.25">
      <c r="A313" s="562" t="s">
        <v>181</v>
      </c>
      <c r="B313" s="563"/>
      <c r="E313" s="32">
        <v>853</v>
      </c>
      <c r="F313" s="83" t="s">
        <v>182</v>
      </c>
      <c r="G313" s="48" t="s">
        <v>164</v>
      </c>
      <c r="H313" s="134" t="s">
        <v>164</v>
      </c>
      <c r="I313" s="261" t="s">
        <v>164</v>
      </c>
      <c r="J313" s="92">
        <f t="shared" ref="J313:M315" si="187">J314</f>
        <v>0</v>
      </c>
      <c r="K313" s="92">
        <f t="shared" si="187"/>
        <v>0</v>
      </c>
      <c r="L313" s="80">
        <f t="shared" si="171"/>
        <v>0</v>
      </c>
      <c r="M313" s="92">
        <f t="shared" si="187"/>
        <v>0</v>
      </c>
      <c r="N313" s="80">
        <f t="shared" si="182"/>
        <v>0</v>
      </c>
    </row>
    <row r="314" spans="1:14" ht="12" hidden="1" customHeight="1" x14ac:dyDescent="0.25">
      <c r="A314" s="562" t="s">
        <v>181</v>
      </c>
      <c r="B314" s="563"/>
      <c r="E314" s="32">
        <v>853</v>
      </c>
      <c r="F314" s="83" t="s">
        <v>182</v>
      </c>
      <c r="G314" s="131" t="s">
        <v>182</v>
      </c>
      <c r="H314" s="134" t="s">
        <v>164</v>
      </c>
      <c r="I314" s="261" t="s">
        <v>164</v>
      </c>
      <c r="J314" s="92">
        <f t="shared" si="187"/>
        <v>0</v>
      </c>
      <c r="K314" s="92">
        <f t="shared" si="187"/>
        <v>0</v>
      </c>
      <c r="L314" s="80">
        <f t="shared" si="171"/>
        <v>0</v>
      </c>
      <c r="M314" s="92">
        <f t="shared" si="187"/>
        <v>0</v>
      </c>
      <c r="N314" s="80">
        <f t="shared" si="182"/>
        <v>0</v>
      </c>
    </row>
    <row r="315" spans="1:14" hidden="1" x14ac:dyDescent="0.25">
      <c r="A315" s="93"/>
      <c r="B315" s="254" t="s">
        <v>181</v>
      </c>
      <c r="E315" s="32">
        <v>853</v>
      </c>
      <c r="F315" s="38" t="s">
        <v>182</v>
      </c>
      <c r="G315" s="84" t="s">
        <v>182</v>
      </c>
      <c r="H315" s="132" t="s">
        <v>183</v>
      </c>
      <c r="I315" s="246" t="s">
        <v>164</v>
      </c>
      <c r="J315" s="80">
        <f t="shared" si="187"/>
        <v>0</v>
      </c>
      <c r="K315" s="80">
        <f t="shared" si="187"/>
        <v>0</v>
      </c>
      <c r="L315" s="80">
        <f t="shared" si="171"/>
        <v>0</v>
      </c>
      <c r="M315" s="80">
        <f t="shared" si="187"/>
        <v>0</v>
      </c>
      <c r="N315" s="80">
        <f t="shared" si="182"/>
        <v>0</v>
      </c>
    </row>
    <row r="316" spans="1:14" hidden="1" x14ac:dyDescent="0.25">
      <c r="A316" s="93"/>
      <c r="B316" s="254" t="s">
        <v>181</v>
      </c>
      <c r="E316" s="32">
        <v>853</v>
      </c>
      <c r="F316" s="38" t="s">
        <v>182</v>
      </c>
      <c r="G316" s="84" t="s">
        <v>182</v>
      </c>
      <c r="H316" s="132" t="s">
        <v>183</v>
      </c>
      <c r="I316" s="262" t="s">
        <v>184</v>
      </c>
      <c r="J316" s="80">
        <f>'6 Вед15'!J328</f>
        <v>0</v>
      </c>
      <c r="K316" s="80">
        <f>'6 Вед15'!K328</f>
        <v>0</v>
      </c>
      <c r="L316" s="80">
        <f>J316+K316</f>
        <v>0</v>
      </c>
      <c r="M316" s="80">
        <f>'6 Вед15'!M328</f>
        <v>0</v>
      </c>
      <c r="N316" s="80">
        <f>L316+M316</f>
        <v>0</v>
      </c>
    </row>
    <row r="317" spans="1:14" s="6" customFormat="1" ht="14.25" customHeight="1" x14ac:dyDescent="0.25">
      <c r="A317" s="259"/>
      <c r="B317" s="261" t="s">
        <v>180</v>
      </c>
      <c r="C317" s="261"/>
      <c r="D317" s="261"/>
      <c r="E317" s="18"/>
      <c r="F317" s="12"/>
      <c r="G317" s="125"/>
      <c r="H317" s="13"/>
      <c r="I317" s="12"/>
      <c r="J317" s="14">
        <f>J6+J85+J94+J101+J128+J152+J215+J245+J288+J296+J313</f>
        <v>234246433</v>
      </c>
      <c r="K317" s="14">
        <f t="shared" ref="K317:L317" si="188">K6+K85+K94+K101+K128+K152+K215+K245+K288+K296+K313</f>
        <v>8505006</v>
      </c>
      <c r="L317" s="14">
        <f t="shared" si="188"/>
        <v>242751439</v>
      </c>
      <c r="M317" s="14">
        <f t="shared" ref="M317:N317" si="189">M6+M85+M94+M101+M128+M152+M215+M245+M288+M296+M313</f>
        <v>165681</v>
      </c>
      <c r="N317" s="14">
        <f t="shared" si="189"/>
        <v>242917120</v>
      </c>
    </row>
    <row r="318" spans="1:14" s="6" customFormat="1" hidden="1" x14ac:dyDescent="0.25">
      <c r="E318" s="75"/>
      <c r="H318" s="75"/>
      <c r="J318" s="10"/>
      <c r="K318" s="10"/>
      <c r="L318" s="10"/>
      <c r="M318" s="10"/>
      <c r="N318" s="10"/>
    </row>
    <row r="319" spans="1:14" s="94" customFormat="1" hidden="1" x14ac:dyDescent="0.25">
      <c r="B319" s="6"/>
      <c r="C319" s="6"/>
      <c r="D319" s="6"/>
      <c r="E319" s="75"/>
      <c r="F319" s="6"/>
      <c r="G319" s="6"/>
      <c r="H319" s="75" t="s">
        <v>575</v>
      </c>
      <c r="I319" s="6"/>
      <c r="J319" s="10">
        <f>'6 Вед15'!J354</f>
        <v>234246433</v>
      </c>
      <c r="K319" s="10">
        <f>'6 Вед15'!K354</f>
        <v>8505006</v>
      </c>
      <c r="L319" s="10">
        <f>'6 Вед15'!L354</f>
        <v>242751439</v>
      </c>
      <c r="M319" s="10">
        <f>'6 Вед15'!M354</f>
        <v>165681</v>
      </c>
      <c r="N319" s="10">
        <f>'6 Вед15'!N354</f>
        <v>242917120</v>
      </c>
    </row>
    <row r="320" spans="1:14" s="94" customFormat="1" hidden="1" x14ac:dyDescent="0.25">
      <c r="B320" s="6"/>
      <c r="C320" s="6"/>
      <c r="D320" s="6"/>
      <c r="E320" s="75"/>
      <c r="F320" s="6"/>
      <c r="G320" s="6"/>
      <c r="H320" s="75" t="s">
        <v>721</v>
      </c>
      <c r="I320" s="6"/>
      <c r="J320" s="10">
        <f>J317-J319</f>
        <v>0</v>
      </c>
      <c r="K320" s="10">
        <f t="shared" ref="K320:L320" si="190">K317-K319</f>
        <v>0</v>
      </c>
      <c r="L320" s="10">
        <f t="shared" si="190"/>
        <v>0</v>
      </c>
      <c r="M320" s="10">
        <f t="shared" ref="M320:N320" si="191">M317-M319</f>
        <v>0</v>
      </c>
      <c r="N320" s="10">
        <f t="shared" si="191"/>
        <v>0</v>
      </c>
    </row>
    <row r="321" spans="2:14" s="94" customFormat="1" hidden="1" x14ac:dyDescent="0.25">
      <c r="B321" s="6"/>
      <c r="C321" s="6"/>
      <c r="D321" s="6"/>
      <c r="E321" s="86"/>
      <c r="F321" s="87"/>
      <c r="G321" s="87"/>
      <c r="H321" s="86" t="s">
        <v>722</v>
      </c>
      <c r="I321" s="87"/>
      <c r="J321" s="10">
        <f>'8 МП15'!K304</f>
        <v>234246433</v>
      </c>
      <c r="K321" s="10">
        <f>'8 МП15'!L304</f>
        <v>8505006</v>
      </c>
      <c r="L321" s="10">
        <f>'8 МП15'!M304</f>
        <v>242751439</v>
      </c>
      <c r="M321" s="10">
        <f>'8 МП15'!N304</f>
        <v>165681</v>
      </c>
      <c r="N321" s="10">
        <f>'8 МП15'!O304</f>
        <v>242917120</v>
      </c>
    </row>
    <row r="322" spans="2:14" s="94" customFormat="1" hidden="1" x14ac:dyDescent="0.25">
      <c r="B322" s="6"/>
      <c r="C322" s="6"/>
      <c r="D322" s="6"/>
      <c r="E322" s="86"/>
      <c r="F322" s="87"/>
      <c r="G322" s="87"/>
      <c r="H322" s="88"/>
      <c r="I322" s="86"/>
      <c r="J322" s="318">
        <f>J317-J321</f>
        <v>0</v>
      </c>
      <c r="K322" s="318">
        <f t="shared" ref="K322:L322" si="192">K317-K321</f>
        <v>0</v>
      </c>
      <c r="L322" s="318">
        <f t="shared" si="192"/>
        <v>0</v>
      </c>
      <c r="M322" s="318">
        <f t="shared" ref="M322:N322" si="193">M317-M321</f>
        <v>0</v>
      </c>
      <c r="N322" s="318">
        <f t="shared" si="193"/>
        <v>0</v>
      </c>
    </row>
    <row r="323" spans="2:14" s="94" customFormat="1" hidden="1" x14ac:dyDescent="0.25">
      <c r="B323" s="6"/>
      <c r="C323" s="6"/>
      <c r="D323" s="6"/>
      <c r="E323" s="86"/>
      <c r="F323" s="87"/>
      <c r="G323" s="87"/>
      <c r="H323" s="86" t="s">
        <v>577</v>
      </c>
      <c r="I323" s="86"/>
      <c r="J323" s="10">
        <f>' Дох.15'!C119</f>
        <v>234246433</v>
      </c>
      <c r="K323" s="10">
        <f>' Дох.15'!F119</f>
        <v>4802500</v>
      </c>
      <c r="L323" s="10">
        <f>' Дох.15'!G119</f>
        <v>239048933</v>
      </c>
      <c r="M323" s="10">
        <f>' Дох.15'!H119</f>
        <v>-4115019</v>
      </c>
      <c r="N323" s="10">
        <f>' Дох.15'!I119</f>
        <v>234933914</v>
      </c>
    </row>
    <row r="324" spans="2:14" s="94" customFormat="1" hidden="1" x14ac:dyDescent="0.25">
      <c r="B324" s="6"/>
      <c r="C324" s="6"/>
      <c r="D324" s="6"/>
      <c r="E324" s="86"/>
      <c r="F324" s="87"/>
      <c r="G324" s="87"/>
      <c r="H324" s="86"/>
      <c r="I324" s="86"/>
      <c r="J324" s="10">
        <f>J317-J323</f>
        <v>0</v>
      </c>
      <c r="K324" s="10">
        <f t="shared" ref="K324:L324" si="194">K317-K323</f>
        <v>3702506</v>
      </c>
      <c r="L324" s="10">
        <f t="shared" si="194"/>
        <v>3702506</v>
      </c>
      <c r="M324" s="10">
        <f t="shared" ref="M324:N324" si="195">M317-M323</f>
        <v>4280700</v>
      </c>
      <c r="N324" s="10">
        <f t="shared" si="195"/>
        <v>7983206</v>
      </c>
    </row>
    <row r="325" spans="2:14" s="94" customFormat="1" hidden="1" x14ac:dyDescent="0.25">
      <c r="B325" s="6"/>
      <c r="C325" s="6"/>
      <c r="D325" s="6"/>
      <c r="E325" s="86"/>
      <c r="F325" s="87"/>
      <c r="G325" s="87"/>
      <c r="H325" s="86"/>
      <c r="I325" s="86"/>
      <c r="J325" s="10"/>
      <c r="K325" s="10"/>
      <c r="L325" s="10"/>
      <c r="M325" s="10"/>
      <c r="N325" s="10"/>
    </row>
    <row r="326" spans="2:14" s="94" customFormat="1" x14ac:dyDescent="0.25">
      <c r="B326" s="6"/>
      <c r="C326" s="6"/>
      <c r="D326" s="6"/>
      <c r="E326" s="86"/>
      <c r="F326" s="87"/>
      <c r="G326" s="87"/>
      <c r="H326" s="86"/>
      <c r="I326" s="86"/>
      <c r="J326" s="10"/>
      <c r="K326" s="6"/>
      <c r="L326" s="6"/>
      <c r="M326" s="6"/>
      <c r="N326" s="6"/>
    </row>
    <row r="327" spans="2:14" s="94" customFormat="1" x14ac:dyDescent="0.25">
      <c r="B327" s="6"/>
      <c r="C327" s="6"/>
      <c r="D327" s="6"/>
      <c r="E327" s="86"/>
      <c r="F327" s="87"/>
      <c r="G327" s="87"/>
      <c r="H327" s="88"/>
      <c r="I327" s="86"/>
      <c r="J327" s="10"/>
    </row>
    <row r="328" spans="2:14" s="94" customFormat="1" x14ac:dyDescent="0.25">
      <c r="B328" s="6" t="s">
        <v>575</v>
      </c>
      <c r="C328" s="6"/>
      <c r="D328" s="6"/>
      <c r="E328" s="86"/>
      <c r="F328" s="87"/>
      <c r="G328" s="87"/>
      <c r="H328" s="88"/>
      <c r="I328" s="86"/>
      <c r="J328" s="10">
        <f>'6 Вед15'!J354</f>
        <v>234246433</v>
      </c>
      <c r="K328" s="10">
        <f>'6 Вед15'!K354</f>
        <v>8505006</v>
      </c>
      <c r="L328" s="10">
        <f>'6 Вед15'!L354</f>
        <v>242751439</v>
      </c>
      <c r="M328" s="10">
        <f>'6 Вед15'!M354</f>
        <v>165681</v>
      </c>
      <c r="N328" s="10">
        <f>'6 Вед15'!N354</f>
        <v>242917120</v>
      </c>
    </row>
    <row r="329" spans="2:14" s="94" customFormat="1" x14ac:dyDescent="0.25">
      <c r="B329" s="6"/>
      <c r="C329" s="6"/>
      <c r="D329" s="6"/>
      <c r="E329" s="86"/>
      <c r="F329" s="87"/>
      <c r="G329" s="87"/>
      <c r="H329" s="88"/>
      <c r="I329" s="86"/>
      <c r="J329" s="10"/>
    </row>
    <row r="330" spans="2:14" s="94" customFormat="1" x14ac:dyDescent="0.25">
      <c r="B330" s="6"/>
      <c r="C330" s="6"/>
      <c r="D330" s="6"/>
      <c r="E330" s="86"/>
      <c r="F330" s="87"/>
      <c r="G330" s="87"/>
      <c r="H330" s="88"/>
      <c r="I330" s="86"/>
      <c r="J330" s="10">
        <f>J317-J328</f>
        <v>0</v>
      </c>
      <c r="K330" s="10">
        <f t="shared" ref="K330:L330" si="196">K317-K328</f>
        <v>0</v>
      </c>
      <c r="L330" s="10">
        <f t="shared" si="196"/>
        <v>0</v>
      </c>
      <c r="M330" s="10">
        <f t="shared" ref="M330:N330" si="197">M317-M328</f>
        <v>0</v>
      </c>
      <c r="N330" s="10">
        <f t="shared" si="197"/>
        <v>0</v>
      </c>
    </row>
    <row r="331" spans="2:14" s="94" customFormat="1" x14ac:dyDescent="0.25">
      <c r="B331" s="6"/>
      <c r="C331" s="6"/>
      <c r="D331" s="6"/>
      <c r="E331" s="86"/>
      <c r="F331" s="87"/>
      <c r="G331" s="87"/>
      <c r="H331" s="88"/>
      <c r="I331" s="87"/>
      <c r="J331" s="10"/>
    </row>
    <row r="332" spans="2:14" s="94" customFormat="1" x14ac:dyDescent="0.25">
      <c r="B332" s="6"/>
      <c r="C332" s="6"/>
      <c r="D332" s="6"/>
      <c r="E332" s="86"/>
      <c r="F332" s="87"/>
      <c r="G332" s="87"/>
      <c r="H332" s="88"/>
      <c r="I332" s="87" t="s">
        <v>159</v>
      </c>
      <c r="J332" s="10">
        <f>J66+J92+J134+J150+J243+J299+J305</f>
        <v>15385217</v>
      </c>
      <c r="K332" s="10">
        <f t="shared" ref="K332:N332" si="198">K66+K92+K134+K150+K243+K299+K305</f>
        <v>0</v>
      </c>
      <c r="L332" s="10">
        <f t="shared" si="198"/>
        <v>15385217</v>
      </c>
      <c r="M332" s="10">
        <f t="shared" si="198"/>
        <v>-866401</v>
      </c>
      <c r="N332" s="10">
        <f t="shared" si="198"/>
        <v>14518816</v>
      </c>
    </row>
    <row r="333" spans="2:14" s="94" customFormat="1" x14ac:dyDescent="0.25">
      <c r="B333" s="6"/>
      <c r="C333" s="6"/>
      <c r="D333" s="6"/>
      <c r="E333" s="86"/>
      <c r="F333" s="87"/>
      <c r="G333" s="87"/>
      <c r="H333" s="88"/>
      <c r="I333" s="87"/>
      <c r="J333" s="6"/>
      <c r="K333" s="6"/>
      <c r="L333" s="6"/>
      <c r="M333" s="6"/>
      <c r="N333" s="10"/>
    </row>
    <row r="334" spans="2:14" s="94" customFormat="1" x14ac:dyDescent="0.25">
      <c r="B334" s="6"/>
      <c r="C334" s="6"/>
      <c r="D334" s="6"/>
      <c r="E334" s="86"/>
      <c r="F334" s="87"/>
      <c r="G334" s="87"/>
      <c r="H334" s="88"/>
      <c r="I334" s="87"/>
      <c r="J334" s="10"/>
      <c r="K334" s="6"/>
      <c r="L334" s="6"/>
      <c r="M334" s="6"/>
      <c r="N334" s="6"/>
    </row>
    <row r="335" spans="2:14" s="94" customFormat="1" x14ac:dyDescent="0.25">
      <c r="B335" s="6"/>
      <c r="C335" s="6"/>
      <c r="D335" s="6"/>
      <c r="E335" s="86"/>
      <c r="F335" s="87"/>
      <c r="G335" s="87"/>
      <c r="H335" s="88"/>
      <c r="I335" s="87"/>
      <c r="J335" s="6"/>
      <c r="K335" s="6"/>
      <c r="L335" s="6"/>
      <c r="M335" s="6"/>
      <c r="N335" s="6"/>
    </row>
    <row r="336" spans="2:14" s="94" customFormat="1" x14ac:dyDescent="0.25">
      <c r="B336" s="6"/>
      <c r="C336" s="6"/>
      <c r="D336" s="6"/>
      <c r="E336" s="86"/>
      <c r="F336" s="87"/>
      <c r="G336" s="87"/>
      <c r="H336" s="88"/>
      <c r="I336" s="87"/>
      <c r="J336" s="10"/>
      <c r="K336" s="6"/>
      <c r="L336" s="6"/>
      <c r="M336" s="6"/>
      <c r="N336" s="6"/>
    </row>
    <row r="337" spans="2:14" s="94" customFormat="1" x14ac:dyDescent="0.25">
      <c r="B337" s="6"/>
      <c r="C337" s="6"/>
      <c r="D337" s="6"/>
      <c r="E337" s="86"/>
      <c r="F337" s="86"/>
      <c r="G337" s="86"/>
      <c r="H337" s="88"/>
      <c r="I337" s="87"/>
      <c r="J337" s="6"/>
      <c r="K337" s="6"/>
      <c r="L337" s="6"/>
      <c r="M337" s="6"/>
      <c r="N337" s="6"/>
    </row>
    <row r="338" spans="2:14" s="94" customFormat="1" x14ac:dyDescent="0.25">
      <c r="B338" s="6"/>
      <c r="C338" s="6"/>
      <c r="D338" s="6"/>
      <c r="E338" s="86"/>
      <c r="F338" s="86"/>
      <c r="G338" s="86"/>
      <c r="H338" s="88"/>
      <c r="I338" s="87"/>
      <c r="J338" s="6"/>
    </row>
    <row r="339" spans="2:14" s="94" customFormat="1" x14ac:dyDescent="0.25">
      <c r="E339" s="95"/>
      <c r="F339" s="95"/>
      <c r="G339" s="95"/>
      <c r="H339" s="88"/>
      <c r="I339" s="87"/>
      <c r="J339" s="6"/>
    </row>
    <row r="340" spans="2:14" x14ac:dyDescent="0.25">
      <c r="E340" s="96"/>
      <c r="F340" s="96"/>
      <c r="G340" s="96"/>
      <c r="H340" s="88"/>
      <c r="I340" s="87"/>
      <c r="J340" s="6"/>
    </row>
    <row r="341" spans="2:14" x14ac:dyDescent="0.25">
      <c r="E341" s="96"/>
      <c r="F341" s="96"/>
      <c r="G341" s="96"/>
      <c r="H341" s="88"/>
      <c r="I341" s="87"/>
      <c r="J341" s="10"/>
    </row>
    <row r="342" spans="2:14" x14ac:dyDescent="0.25">
      <c r="H342" s="85"/>
      <c r="J342" s="6"/>
    </row>
    <row r="343" spans="2:14" x14ac:dyDescent="0.25">
      <c r="H343" s="85"/>
    </row>
    <row r="344" spans="2:14" x14ac:dyDescent="0.25">
      <c r="B344" s="136"/>
      <c r="C344" s="136"/>
      <c r="D344" s="136"/>
      <c r="E344" s="137"/>
      <c r="F344" s="136"/>
      <c r="G344" s="136"/>
      <c r="H344" s="138"/>
      <c r="I344" s="113"/>
      <c r="J344" s="136"/>
    </row>
    <row r="345" spans="2:14" x14ac:dyDescent="0.25">
      <c r="B345" s="136"/>
      <c r="C345" s="136"/>
      <c r="D345" s="136"/>
      <c r="E345" s="137"/>
      <c r="F345" s="136"/>
      <c r="G345" s="136"/>
      <c r="H345" s="138"/>
      <c r="I345" s="113"/>
      <c r="J345" s="217"/>
    </row>
    <row r="346" spans="2:14" x14ac:dyDescent="0.25">
      <c r="B346" s="136"/>
      <c r="C346" s="136"/>
      <c r="D346" s="136"/>
      <c r="E346" s="137"/>
      <c r="F346" s="136"/>
      <c r="G346" s="136"/>
      <c r="H346" s="138"/>
      <c r="I346" s="113"/>
      <c r="J346" s="136"/>
    </row>
    <row r="347" spans="2:14" x14ac:dyDescent="0.25">
      <c r="B347" s="136"/>
      <c r="C347" s="136"/>
      <c r="D347" s="136"/>
      <c r="E347" s="137"/>
      <c r="F347" s="136"/>
      <c r="G347" s="136"/>
      <c r="H347" s="138"/>
      <c r="I347" s="113"/>
      <c r="J347" s="136"/>
    </row>
    <row r="348" spans="2:14" x14ac:dyDescent="0.25">
      <c r="B348" s="136"/>
      <c r="C348" s="136"/>
      <c r="D348" s="136"/>
      <c r="E348" s="137"/>
      <c r="F348" s="136"/>
      <c r="G348" s="136"/>
      <c r="H348" s="138"/>
      <c r="I348" s="113"/>
      <c r="J348" s="217"/>
    </row>
    <row r="349" spans="2:14" x14ac:dyDescent="0.25">
      <c r="B349" s="136"/>
      <c r="C349" s="136"/>
      <c r="D349" s="136"/>
      <c r="E349" s="137"/>
      <c r="F349" s="136"/>
      <c r="G349" s="136"/>
      <c r="H349" s="138"/>
      <c r="I349" s="113"/>
      <c r="J349" s="136"/>
    </row>
    <row r="350" spans="2:14" x14ac:dyDescent="0.25">
      <c r="B350" s="136"/>
      <c r="C350" s="136"/>
      <c r="D350" s="136"/>
      <c r="E350" s="137"/>
      <c r="F350" s="136"/>
      <c r="G350" s="136"/>
      <c r="H350" s="138"/>
      <c r="I350" s="113"/>
      <c r="J350" s="217"/>
      <c r="K350" s="217"/>
      <c r="L350" s="217"/>
      <c r="M350" s="217"/>
      <c r="N350" s="217"/>
    </row>
    <row r="351" spans="2:14" x14ac:dyDescent="0.25">
      <c r="B351" s="136"/>
      <c r="C351" s="136"/>
      <c r="D351" s="136"/>
      <c r="E351" s="137"/>
      <c r="F351" s="136"/>
      <c r="G351" s="136"/>
      <c r="H351" s="138"/>
      <c r="I351" s="113"/>
      <c r="J351" s="136"/>
    </row>
    <row r="352" spans="2:14" x14ac:dyDescent="0.25">
      <c r="B352" s="136"/>
      <c r="C352" s="136"/>
      <c r="D352" s="136"/>
      <c r="E352" s="136"/>
      <c r="F352" s="136"/>
      <c r="G352" s="136"/>
      <c r="H352" s="138"/>
      <c r="I352" s="113"/>
      <c r="J352" s="217"/>
      <c r="K352" s="217"/>
      <c r="L352" s="217"/>
      <c r="M352" s="217"/>
      <c r="N352" s="217"/>
    </row>
    <row r="353" spans="2:10" x14ac:dyDescent="0.25">
      <c r="B353" s="136"/>
      <c r="C353" s="136"/>
      <c r="D353" s="136"/>
      <c r="E353" s="136"/>
      <c r="F353" s="136"/>
      <c r="G353" s="136"/>
      <c r="H353" s="138"/>
      <c r="I353" s="113"/>
      <c r="J353" s="136"/>
    </row>
    <row r="354" spans="2:10" x14ac:dyDescent="0.25">
      <c r="B354" s="136"/>
      <c r="C354" s="136"/>
      <c r="D354" s="136"/>
      <c r="E354" s="136"/>
      <c r="F354" s="136"/>
      <c r="G354" s="136"/>
      <c r="H354" s="138"/>
      <c r="I354" s="113"/>
      <c r="J354" s="136"/>
    </row>
    <row r="355" spans="2:10" x14ac:dyDescent="0.25">
      <c r="B355" s="136"/>
      <c r="C355" s="136"/>
      <c r="D355" s="136"/>
      <c r="E355" s="136"/>
      <c r="F355" s="136"/>
      <c r="G355" s="136"/>
      <c r="H355" s="138"/>
      <c r="I355" s="113"/>
      <c r="J355" s="136"/>
    </row>
    <row r="356" spans="2:10" x14ac:dyDescent="0.25">
      <c r="B356" s="136"/>
      <c r="C356" s="136"/>
      <c r="D356" s="136"/>
      <c r="E356" s="136"/>
      <c r="F356" s="136"/>
      <c r="G356" s="136"/>
      <c r="H356" s="138"/>
      <c r="I356" s="113"/>
      <c r="J356" s="136"/>
    </row>
    <row r="357" spans="2:10" x14ac:dyDescent="0.25">
      <c r="B357" s="136"/>
      <c r="C357" s="136"/>
      <c r="D357" s="136"/>
      <c r="E357" s="136"/>
      <c r="F357" s="137"/>
      <c r="G357" s="137"/>
      <c r="H357" s="138"/>
      <c r="I357" s="113"/>
      <c r="J357" s="136"/>
    </row>
    <row r="358" spans="2:10" x14ac:dyDescent="0.25">
      <c r="E358" s="81"/>
      <c r="H358" s="85"/>
    </row>
    <row r="359" spans="2:10" x14ac:dyDescent="0.25">
      <c r="E359" s="81"/>
      <c r="H359" s="85"/>
    </row>
    <row r="360" spans="2:10" x14ac:dyDescent="0.25">
      <c r="E360" s="81"/>
      <c r="H360" s="85"/>
    </row>
    <row r="361" spans="2:10" x14ac:dyDescent="0.25">
      <c r="E361" s="81"/>
      <c r="H361" s="85"/>
    </row>
    <row r="362" spans="2:10" x14ac:dyDescent="0.25">
      <c r="E362" s="81"/>
      <c r="H362" s="85"/>
    </row>
    <row r="363" spans="2:10" x14ac:dyDescent="0.25">
      <c r="E363" s="81"/>
      <c r="H363" s="85"/>
    </row>
    <row r="364" spans="2:10" x14ac:dyDescent="0.25">
      <c r="E364" s="81"/>
      <c r="H364" s="85"/>
    </row>
    <row r="365" spans="2:10" x14ac:dyDescent="0.25">
      <c r="E365" s="81"/>
      <c r="F365" s="81"/>
      <c r="G365" s="81"/>
      <c r="H365" s="85"/>
    </row>
    <row r="366" spans="2:10" x14ac:dyDescent="0.25">
      <c r="E366" s="81"/>
      <c r="F366" s="81"/>
      <c r="G366" s="81"/>
      <c r="H366" s="85"/>
    </row>
    <row r="367" spans="2:10" x14ac:dyDescent="0.25">
      <c r="E367" s="81"/>
      <c r="F367" s="81"/>
      <c r="G367" s="81"/>
      <c r="H367" s="85"/>
    </row>
    <row r="368" spans="2:10" x14ac:dyDescent="0.25">
      <c r="E368" s="81"/>
      <c r="F368" s="81"/>
      <c r="G368" s="81"/>
      <c r="H368" s="85"/>
    </row>
    <row r="369" spans="5:8" x14ac:dyDescent="0.25">
      <c r="E369" s="81"/>
      <c r="F369" s="81"/>
      <c r="G369" s="81"/>
      <c r="H369" s="85"/>
    </row>
    <row r="370" spans="5:8" x14ac:dyDescent="0.25">
      <c r="E370" s="81"/>
      <c r="F370" s="81"/>
      <c r="G370" s="81"/>
      <c r="H370" s="85"/>
    </row>
    <row r="371" spans="5:8" x14ac:dyDescent="0.25">
      <c r="E371" s="81"/>
      <c r="H371" s="85"/>
    </row>
    <row r="372" spans="5:8" x14ac:dyDescent="0.25">
      <c r="E372" s="81"/>
      <c r="F372" s="81"/>
      <c r="G372" s="81"/>
      <c r="H372" s="85"/>
    </row>
    <row r="373" spans="5:8" x14ac:dyDescent="0.25">
      <c r="E373" s="81"/>
      <c r="H373" s="85"/>
    </row>
    <row r="374" spans="5:8" x14ac:dyDescent="0.25">
      <c r="E374" s="81"/>
      <c r="H374" s="85"/>
    </row>
    <row r="375" spans="5:8" x14ac:dyDescent="0.25">
      <c r="E375" s="81"/>
      <c r="H375" s="85"/>
    </row>
    <row r="376" spans="5:8" x14ac:dyDescent="0.25">
      <c r="E376" s="81"/>
      <c r="H376" s="85"/>
    </row>
    <row r="377" spans="5:8" x14ac:dyDescent="0.25">
      <c r="E377" s="81"/>
      <c r="H377" s="85"/>
    </row>
    <row r="378" spans="5:8" x14ac:dyDescent="0.25">
      <c r="E378" s="81"/>
      <c r="H378" s="85"/>
    </row>
    <row r="379" spans="5:8" x14ac:dyDescent="0.25">
      <c r="E379" s="81"/>
      <c r="F379" s="81"/>
      <c r="G379" s="81"/>
      <c r="H379" s="85"/>
    </row>
    <row r="380" spans="5:8" x14ac:dyDescent="0.25">
      <c r="E380" s="81"/>
      <c r="H380" s="85"/>
    </row>
    <row r="381" spans="5:8" x14ac:dyDescent="0.25">
      <c r="E381" s="81"/>
      <c r="H381" s="85"/>
    </row>
    <row r="382" spans="5:8" x14ac:dyDescent="0.25">
      <c r="E382" s="81"/>
      <c r="H382" s="85"/>
    </row>
    <row r="383" spans="5:8" x14ac:dyDescent="0.25">
      <c r="E383" s="81"/>
      <c r="H383" s="85"/>
    </row>
    <row r="384" spans="5:8" x14ac:dyDescent="0.25">
      <c r="E384" s="81"/>
      <c r="H384" s="85"/>
    </row>
    <row r="385" spans="5:8" x14ac:dyDescent="0.25">
      <c r="E385" s="81"/>
      <c r="H385" s="85"/>
    </row>
    <row r="386" spans="5:8" x14ac:dyDescent="0.25">
      <c r="E386" s="81"/>
      <c r="H386" s="85"/>
    </row>
    <row r="388" spans="5:8" x14ac:dyDescent="0.25">
      <c r="E388" s="81"/>
    </row>
    <row r="389" spans="5:8" x14ac:dyDescent="0.25">
      <c r="E389" s="81"/>
    </row>
    <row r="390" spans="5:8" x14ac:dyDescent="0.25">
      <c r="E390" s="81"/>
    </row>
    <row r="391" spans="5:8" x14ac:dyDescent="0.25">
      <c r="E391" s="81"/>
      <c r="F391" s="81"/>
      <c r="G391" s="81"/>
    </row>
    <row r="392" spans="5:8" x14ac:dyDescent="0.25">
      <c r="E392" s="81"/>
      <c r="F392" s="81"/>
      <c r="G392" s="81"/>
    </row>
    <row r="393" spans="5:8" x14ac:dyDescent="0.25">
      <c r="E393" s="81"/>
      <c r="F393" s="81"/>
      <c r="G393" s="81"/>
    </row>
    <row r="394" spans="5:8" x14ac:dyDescent="0.25">
      <c r="E394" s="81"/>
      <c r="F394" s="81"/>
      <c r="G394" s="81"/>
    </row>
    <row r="395" spans="5:8" x14ac:dyDescent="0.25">
      <c r="E395" s="81"/>
      <c r="F395" s="81"/>
      <c r="G395" s="81"/>
    </row>
  </sheetData>
  <mergeCells count="112">
    <mergeCell ref="A179:B179"/>
    <mergeCell ref="A154:B154"/>
    <mergeCell ref="A157:B157"/>
    <mergeCell ref="A140:B140"/>
    <mergeCell ref="A102:B102"/>
    <mergeCell ref="A152:B152"/>
    <mergeCell ref="A106:B106"/>
    <mergeCell ref="A130:B130"/>
    <mergeCell ref="A119:B119"/>
    <mergeCell ref="A120:B120"/>
    <mergeCell ref="A115:B115"/>
    <mergeCell ref="A116:B116"/>
    <mergeCell ref="A153:B153"/>
    <mergeCell ref="A143:B143"/>
    <mergeCell ref="A137:B137"/>
    <mergeCell ref="A146:B146"/>
    <mergeCell ref="A163:B163"/>
    <mergeCell ref="A166:B166"/>
    <mergeCell ref="A167:B167"/>
    <mergeCell ref="A133:B133"/>
    <mergeCell ref="A149:B149"/>
    <mergeCell ref="A95:B95"/>
    <mergeCell ref="A101:B101"/>
    <mergeCell ref="A125:B125"/>
    <mergeCell ref="A129:B129"/>
    <mergeCell ref="A96:B96"/>
    <mergeCell ref="A57:B57"/>
    <mergeCell ref="A60:B60"/>
    <mergeCell ref="A61:B61"/>
    <mergeCell ref="A87:B87"/>
    <mergeCell ref="A74:B74"/>
    <mergeCell ref="A85:B85"/>
    <mergeCell ref="A86:B86"/>
    <mergeCell ref="A79:B79"/>
    <mergeCell ref="A82:B82"/>
    <mergeCell ref="A68:B68"/>
    <mergeCell ref="A71:B71"/>
    <mergeCell ref="A109:B109"/>
    <mergeCell ref="A103:B103"/>
    <mergeCell ref="A182:B182"/>
    <mergeCell ref="A170:B170"/>
    <mergeCell ref="A176:B176"/>
    <mergeCell ref="A160:B160"/>
    <mergeCell ref="A56:B56"/>
    <mergeCell ref="A5:B5"/>
    <mergeCell ref="A6:B6"/>
    <mergeCell ref="A19:B19"/>
    <mergeCell ref="A53:B53"/>
    <mergeCell ref="A20:B20"/>
    <mergeCell ref="A23:B23"/>
    <mergeCell ref="A32:B32"/>
    <mergeCell ref="A11:B11"/>
    <mergeCell ref="A12:B12"/>
    <mergeCell ref="A39:B39"/>
    <mergeCell ref="A40:B40"/>
    <mergeCell ref="A48:B48"/>
    <mergeCell ref="A7:B7"/>
    <mergeCell ref="A8:B8"/>
    <mergeCell ref="A35:B35"/>
    <mergeCell ref="A36:B36"/>
    <mergeCell ref="A173:B173"/>
    <mergeCell ref="A112:B112"/>
    <mergeCell ref="A94:B94"/>
    <mergeCell ref="A304:B304"/>
    <mergeCell ref="A313:B313"/>
    <mergeCell ref="A314:B314"/>
    <mergeCell ref="A303:B303"/>
    <mergeCell ref="A296:B296"/>
    <mergeCell ref="A297:B297"/>
    <mergeCell ref="A298:B298"/>
    <mergeCell ref="A283:B283"/>
    <mergeCell ref="A288:B288"/>
    <mergeCell ref="A289:B289"/>
    <mergeCell ref="A290:B290"/>
    <mergeCell ref="A293:B293"/>
    <mergeCell ref="A309:B309"/>
    <mergeCell ref="A203:B203"/>
    <mergeCell ref="A212:B212"/>
    <mergeCell ref="A273:B273"/>
    <mergeCell ref="A278:B278"/>
    <mergeCell ref="A269:B269"/>
    <mergeCell ref="A257:B257"/>
    <mergeCell ref="A266:B266"/>
    <mergeCell ref="A261:B261"/>
    <mergeCell ref="A254:B254"/>
    <mergeCell ref="A258:B258"/>
    <mergeCell ref="A251:B251"/>
    <mergeCell ref="A250:B250"/>
    <mergeCell ref="B3:L3"/>
    <mergeCell ref="J2:L2"/>
    <mergeCell ref="A272:B272"/>
    <mergeCell ref="A235:B235"/>
    <mergeCell ref="A246:B246"/>
    <mergeCell ref="A247:B247"/>
    <mergeCell ref="A239:B239"/>
    <mergeCell ref="A185:B185"/>
    <mergeCell ref="A192:B192"/>
    <mergeCell ref="A195:B195"/>
    <mergeCell ref="A196:B196"/>
    <mergeCell ref="A199:B199"/>
    <mergeCell ref="A200:B200"/>
    <mergeCell ref="A245:B245"/>
    <mergeCell ref="A242:B242"/>
    <mergeCell ref="A232:B232"/>
    <mergeCell ref="A215:B215"/>
    <mergeCell ref="A238:B238"/>
    <mergeCell ref="A223:B223"/>
    <mergeCell ref="A226:B226"/>
    <mergeCell ref="A229:B229"/>
    <mergeCell ref="A216:B216"/>
    <mergeCell ref="A217:B217"/>
    <mergeCell ref="A220:B220"/>
  </mergeCells>
  <pageMargins left="0.70866141732283472" right="0.39370078740157483" top="0.19685039370078741" bottom="0.19685039370078741"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P464"/>
  <sheetViews>
    <sheetView zoomScaleNormal="100" workbookViewId="0">
      <pane xSplit="9" ySplit="7" topLeftCell="N351" activePane="bottomRight" state="frozen"/>
      <selection activeCell="J379" sqref="J379:J380"/>
      <selection pane="topRight" activeCell="J379" sqref="J379:J380"/>
      <selection pane="bottomLeft" activeCell="J379" sqref="J379:J380"/>
      <selection pane="bottomRight" activeCell="N351" sqref="N351"/>
    </sheetView>
  </sheetViews>
  <sheetFormatPr defaultRowHeight="12" x14ac:dyDescent="0.25"/>
  <cols>
    <col min="1" max="1" width="1.7109375" style="6" customWidth="1"/>
    <col min="2" max="2" width="64.140625" style="6" customWidth="1"/>
    <col min="3" max="4" width="4" style="6" hidden="1" customWidth="1"/>
    <col min="5" max="5" width="4.5703125" style="75" customWidth="1"/>
    <col min="6" max="7" width="4" style="75" customWidth="1"/>
    <col min="8" max="8" width="10.42578125" style="6" customWidth="1"/>
    <col min="9" max="9" width="4.5703125" style="6" customWidth="1"/>
    <col min="10" max="10" width="14.28515625" style="6" hidden="1" customWidth="1"/>
    <col min="11" max="11" width="12.28515625" style="6" hidden="1" customWidth="1"/>
    <col min="12" max="12" width="13.140625" style="6" hidden="1" customWidth="1"/>
    <col min="13" max="13" width="12.28515625" style="6" hidden="1" customWidth="1"/>
    <col min="14" max="14" width="14.85546875" style="6" customWidth="1"/>
    <col min="15" max="16" width="9.140625" style="6" customWidth="1"/>
    <col min="17" max="204" width="9.140625" style="6"/>
    <col min="205" max="205" width="1.42578125" style="6" customWidth="1"/>
    <col min="206" max="206" width="59.5703125" style="6" customWidth="1"/>
    <col min="207" max="207" width="9.140625" style="6" customWidth="1"/>
    <col min="208" max="209" width="3.85546875" style="6" customWidth="1"/>
    <col min="210" max="210" width="10.5703125" style="6" customWidth="1"/>
    <col min="211" max="211" width="3.85546875" style="6" customWidth="1"/>
    <col min="212" max="214" width="14.42578125" style="6" customWidth="1"/>
    <col min="215" max="215" width="4.140625" style="6" customWidth="1"/>
    <col min="216" max="216" width="15" style="6" customWidth="1"/>
    <col min="217" max="218" width="9.140625" style="6" customWidth="1"/>
    <col min="219" max="219" width="11.5703125" style="6" customWidth="1"/>
    <col min="220" max="220" width="18.140625" style="6" customWidth="1"/>
    <col min="221" max="221" width="13.140625" style="6" customWidth="1"/>
    <col min="222" max="222" width="12.28515625" style="6" customWidth="1"/>
    <col min="223" max="460" width="9.140625" style="6"/>
    <col min="461" max="461" width="1.42578125" style="6" customWidth="1"/>
    <col min="462" max="462" width="59.5703125" style="6" customWidth="1"/>
    <col min="463" max="463" width="9.140625" style="6" customWidth="1"/>
    <col min="464" max="465" width="3.85546875" style="6" customWidth="1"/>
    <col min="466" max="466" width="10.5703125" style="6" customWidth="1"/>
    <col min="467" max="467" width="3.85546875" style="6" customWidth="1"/>
    <col min="468" max="470" width="14.42578125" style="6" customWidth="1"/>
    <col min="471" max="471" width="4.140625" style="6" customWidth="1"/>
    <col min="472" max="472" width="15" style="6" customWidth="1"/>
    <col min="473" max="474" width="9.140625" style="6" customWidth="1"/>
    <col min="475" max="475" width="11.5703125" style="6" customWidth="1"/>
    <col min="476" max="476" width="18.140625" style="6" customWidth="1"/>
    <col min="477" max="477" width="13.140625" style="6" customWidth="1"/>
    <col min="478" max="478" width="12.28515625" style="6" customWidth="1"/>
    <col min="479" max="716" width="9.140625" style="6"/>
    <col min="717" max="717" width="1.42578125" style="6" customWidth="1"/>
    <col min="718" max="718" width="59.5703125" style="6" customWidth="1"/>
    <col min="719" max="719" width="9.140625" style="6" customWidth="1"/>
    <col min="720" max="721" width="3.85546875" style="6" customWidth="1"/>
    <col min="722" max="722" width="10.5703125" style="6" customWidth="1"/>
    <col min="723" max="723" width="3.85546875" style="6" customWidth="1"/>
    <col min="724" max="726" width="14.42578125" style="6" customWidth="1"/>
    <col min="727" max="727" width="4.140625" style="6" customWidth="1"/>
    <col min="728" max="728" width="15" style="6" customWidth="1"/>
    <col min="729" max="730" width="9.140625" style="6" customWidth="1"/>
    <col min="731" max="731" width="11.5703125" style="6" customWidth="1"/>
    <col min="732" max="732" width="18.140625" style="6" customWidth="1"/>
    <col min="733" max="733" width="13.140625" style="6" customWidth="1"/>
    <col min="734" max="734" width="12.28515625" style="6" customWidth="1"/>
    <col min="735" max="972" width="9.140625" style="6"/>
    <col min="973" max="973" width="1.42578125" style="6" customWidth="1"/>
    <col min="974" max="974" width="59.5703125" style="6" customWidth="1"/>
    <col min="975" max="975" width="9.140625" style="6" customWidth="1"/>
    <col min="976" max="977" width="3.85546875" style="6" customWidth="1"/>
    <col min="978" max="978" width="10.5703125" style="6" customWidth="1"/>
    <col min="979" max="979" width="3.85546875" style="6" customWidth="1"/>
    <col min="980" max="982" width="14.42578125" style="6" customWidth="1"/>
    <col min="983" max="983" width="4.140625" style="6" customWidth="1"/>
    <col min="984" max="984" width="15" style="6" customWidth="1"/>
    <col min="985" max="986" width="9.140625" style="6" customWidth="1"/>
    <col min="987" max="987" width="11.5703125" style="6" customWidth="1"/>
    <col min="988" max="988" width="18.140625" style="6" customWidth="1"/>
    <col min="989" max="989" width="13.140625" style="6" customWidth="1"/>
    <col min="990" max="990" width="12.28515625" style="6" customWidth="1"/>
    <col min="991" max="1228" width="9.140625" style="6"/>
    <col min="1229" max="1229" width="1.42578125" style="6" customWidth="1"/>
    <col min="1230" max="1230" width="59.5703125" style="6" customWidth="1"/>
    <col min="1231" max="1231" width="9.140625" style="6" customWidth="1"/>
    <col min="1232" max="1233" width="3.85546875" style="6" customWidth="1"/>
    <col min="1234" max="1234" width="10.5703125" style="6" customWidth="1"/>
    <col min="1235" max="1235" width="3.85546875" style="6" customWidth="1"/>
    <col min="1236" max="1238" width="14.42578125" style="6" customWidth="1"/>
    <col min="1239" max="1239" width="4.140625" style="6" customWidth="1"/>
    <col min="1240" max="1240" width="15" style="6" customWidth="1"/>
    <col min="1241" max="1242" width="9.140625" style="6" customWidth="1"/>
    <col min="1243" max="1243" width="11.5703125" style="6" customWidth="1"/>
    <col min="1244" max="1244" width="18.140625" style="6" customWidth="1"/>
    <col min="1245" max="1245" width="13.140625" style="6" customWidth="1"/>
    <col min="1246" max="1246" width="12.28515625" style="6" customWidth="1"/>
    <col min="1247" max="1484" width="9.140625" style="6"/>
    <col min="1485" max="1485" width="1.42578125" style="6" customWidth="1"/>
    <col min="1486" max="1486" width="59.5703125" style="6" customWidth="1"/>
    <col min="1487" max="1487" width="9.140625" style="6" customWidth="1"/>
    <col min="1488" max="1489" width="3.85546875" style="6" customWidth="1"/>
    <col min="1490" max="1490" width="10.5703125" style="6" customWidth="1"/>
    <col min="1491" max="1491" width="3.85546875" style="6" customWidth="1"/>
    <col min="1492" max="1494" width="14.42578125" style="6" customWidth="1"/>
    <col min="1495" max="1495" width="4.140625" style="6" customWidth="1"/>
    <col min="1496" max="1496" width="15" style="6" customWidth="1"/>
    <col min="1497" max="1498" width="9.140625" style="6" customWidth="1"/>
    <col min="1499" max="1499" width="11.5703125" style="6" customWidth="1"/>
    <col min="1500" max="1500" width="18.140625" style="6" customWidth="1"/>
    <col min="1501" max="1501" width="13.140625" style="6" customWidth="1"/>
    <col min="1502" max="1502" width="12.28515625" style="6" customWidth="1"/>
    <col min="1503" max="1740" width="9.140625" style="6"/>
    <col min="1741" max="1741" width="1.42578125" style="6" customWidth="1"/>
    <col min="1742" max="1742" width="59.5703125" style="6" customWidth="1"/>
    <col min="1743" max="1743" width="9.140625" style="6" customWidth="1"/>
    <col min="1744" max="1745" width="3.85546875" style="6" customWidth="1"/>
    <col min="1746" max="1746" width="10.5703125" style="6" customWidth="1"/>
    <col min="1747" max="1747" width="3.85546875" style="6" customWidth="1"/>
    <col min="1748" max="1750" width="14.42578125" style="6" customWidth="1"/>
    <col min="1751" max="1751" width="4.140625" style="6" customWidth="1"/>
    <col min="1752" max="1752" width="15" style="6" customWidth="1"/>
    <col min="1753" max="1754" width="9.140625" style="6" customWidth="1"/>
    <col min="1755" max="1755" width="11.5703125" style="6" customWidth="1"/>
    <col min="1756" max="1756" width="18.140625" style="6" customWidth="1"/>
    <col min="1757" max="1757" width="13.140625" style="6" customWidth="1"/>
    <col min="1758" max="1758" width="12.28515625" style="6" customWidth="1"/>
    <col min="1759" max="1996" width="9.140625" style="6"/>
    <col min="1997" max="1997" width="1.42578125" style="6" customWidth="1"/>
    <col min="1998" max="1998" width="59.5703125" style="6" customWidth="1"/>
    <col min="1999" max="1999" width="9.140625" style="6" customWidth="1"/>
    <col min="2000" max="2001" width="3.85546875" style="6" customWidth="1"/>
    <col min="2002" max="2002" width="10.5703125" style="6" customWidth="1"/>
    <col min="2003" max="2003" width="3.85546875" style="6" customWidth="1"/>
    <col min="2004" max="2006" width="14.42578125" style="6" customWidth="1"/>
    <col min="2007" max="2007" width="4.140625" style="6" customWidth="1"/>
    <col min="2008" max="2008" width="15" style="6" customWidth="1"/>
    <col min="2009" max="2010" width="9.140625" style="6" customWidth="1"/>
    <col min="2011" max="2011" width="11.5703125" style="6" customWidth="1"/>
    <col min="2012" max="2012" width="18.140625" style="6" customWidth="1"/>
    <col min="2013" max="2013" width="13.140625" style="6" customWidth="1"/>
    <col min="2014" max="2014" width="12.28515625" style="6" customWidth="1"/>
    <col min="2015" max="2252" width="9.140625" style="6"/>
    <col min="2253" max="2253" width="1.42578125" style="6" customWidth="1"/>
    <col min="2254" max="2254" width="59.5703125" style="6" customWidth="1"/>
    <col min="2255" max="2255" width="9.140625" style="6" customWidth="1"/>
    <col min="2256" max="2257" width="3.85546875" style="6" customWidth="1"/>
    <col min="2258" max="2258" width="10.5703125" style="6" customWidth="1"/>
    <col min="2259" max="2259" width="3.85546875" style="6" customWidth="1"/>
    <col min="2260" max="2262" width="14.42578125" style="6" customWidth="1"/>
    <col min="2263" max="2263" width="4.140625" style="6" customWidth="1"/>
    <col min="2264" max="2264" width="15" style="6" customWidth="1"/>
    <col min="2265" max="2266" width="9.140625" style="6" customWidth="1"/>
    <col min="2267" max="2267" width="11.5703125" style="6" customWidth="1"/>
    <col min="2268" max="2268" width="18.140625" style="6" customWidth="1"/>
    <col min="2269" max="2269" width="13.140625" style="6" customWidth="1"/>
    <col min="2270" max="2270" width="12.28515625" style="6" customWidth="1"/>
    <col min="2271" max="2508" width="9.140625" style="6"/>
    <col min="2509" max="2509" width="1.42578125" style="6" customWidth="1"/>
    <col min="2510" max="2510" width="59.5703125" style="6" customWidth="1"/>
    <col min="2511" max="2511" width="9.140625" style="6" customWidth="1"/>
    <col min="2512" max="2513" width="3.85546875" style="6" customWidth="1"/>
    <col min="2514" max="2514" width="10.5703125" style="6" customWidth="1"/>
    <col min="2515" max="2515" width="3.85546875" style="6" customWidth="1"/>
    <col min="2516" max="2518" width="14.42578125" style="6" customWidth="1"/>
    <col min="2519" max="2519" width="4.140625" style="6" customWidth="1"/>
    <col min="2520" max="2520" width="15" style="6" customWidth="1"/>
    <col min="2521" max="2522" width="9.140625" style="6" customWidth="1"/>
    <col min="2523" max="2523" width="11.5703125" style="6" customWidth="1"/>
    <col min="2524" max="2524" width="18.140625" style="6" customWidth="1"/>
    <col min="2525" max="2525" width="13.140625" style="6" customWidth="1"/>
    <col min="2526" max="2526" width="12.28515625" style="6" customWidth="1"/>
    <col min="2527" max="2764" width="9.140625" style="6"/>
    <col min="2765" max="2765" width="1.42578125" style="6" customWidth="1"/>
    <col min="2766" max="2766" width="59.5703125" style="6" customWidth="1"/>
    <col min="2767" max="2767" width="9.140625" style="6" customWidth="1"/>
    <col min="2768" max="2769" width="3.85546875" style="6" customWidth="1"/>
    <col min="2770" max="2770" width="10.5703125" style="6" customWidth="1"/>
    <col min="2771" max="2771" width="3.85546875" style="6" customWidth="1"/>
    <col min="2772" max="2774" width="14.42578125" style="6" customWidth="1"/>
    <col min="2775" max="2775" width="4.140625" style="6" customWidth="1"/>
    <col min="2776" max="2776" width="15" style="6" customWidth="1"/>
    <col min="2777" max="2778" width="9.140625" style="6" customWidth="1"/>
    <col min="2779" max="2779" width="11.5703125" style="6" customWidth="1"/>
    <col min="2780" max="2780" width="18.140625" style="6" customWidth="1"/>
    <col min="2781" max="2781" width="13.140625" style="6" customWidth="1"/>
    <col min="2782" max="2782" width="12.28515625" style="6" customWidth="1"/>
    <col min="2783" max="3020" width="9.140625" style="6"/>
    <col min="3021" max="3021" width="1.42578125" style="6" customWidth="1"/>
    <col min="3022" max="3022" width="59.5703125" style="6" customWidth="1"/>
    <col min="3023" max="3023" width="9.140625" style="6" customWidth="1"/>
    <col min="3024" max="3025" width="3.85546875" style="6" customWidth="1"/>
    <col min="3026" max="3026" width="10.5703125" style="6" customWidth="1"/>
    <col min="3027" max="3027" width="3.85546875" style="6" customWidth="1"/>
    <col min="3028" max="3030" width="14.42578125" style="6" customWidth="1"/>
    <col min="3031" max="3031" width="4.140625" style="6" customWidth="1"/>
    <col min="3032" max="3032" width="15" style="6" customWidth="1"/>
    <col min="3033" max="3034" width="9.140625" style="6" customWidth="1"/>
    <col min="3035" max="3035" width="11.5703125" style="6" customWidth="1"/>
    <col min="3036" max="3036" width="18.140625" style="6" customWidth="1"/>
    <col min="3037" max="3037" width="13.140625" style="6" customWidth="1"/>
    <col min="3038" max="3038" width="12.28515625" style="6" customWidth="1"/>
    <col min="3039" max="3276" width="9.140625" style="6"/>
    <col min="3277" max="3277" width="1.42578125" style="6" customWidth="1"/>
    <col min="3278" max="3278" width="59.5703125" style="6" customWidth="1"/>
    <col min="3279" max="3279" width="9.140625" style="6" customWidth="1"/>
    <col min="3280" max="3281" width="3.85546875" style="6" customWidth="1"/>
    <col min="3282" max="3282" width="10.5703125" style="6" customWidth="1"/>
    <col min="3283" max="3283" width="3.85546875" style="6" customWidth="1"/>
    <col min="3284" max="3286" width="14.42578125" style="6" customWidth="1"/>
    <col min="3287" max="3287" width="4.140625" style="6" customWidth="1"/>
    <col min="3288" max="3288" width="15" style="6" customWidth="1"/>
    <col min="3289" max="3290" width="9.140625" style="6" customWidth="1"/>
    <col min="3291" max="3291" width="11.5703125" style="6" customWidth="1"/>
    <col min="3292" max="3292" width="18.140625" style="6" customWidth="1"/>
    <col min="3293" max="3293" width="13.140625" style="6" customWidth="1"/>
    <col min="3294" max="3294" width="12.28515625" style="6" customWidth="1"/>
    <col min="3295" max="3532" width="9.140625" style="6"/>
    <col min="3533" max="3533" width="1.42578125" style="6" customWidth="1"/>
    <col min="3534" max="3534" width="59.5703125" style="6" customWidth="1"/>
    <col min="3535" max="3535" width="9.140625" style="6" customWidth="1"/>
    <col min="3536" max="3537" width="3.85546875" style="6" customWidth="1"/>
    <col min="3538" max="3538" width="10.5703125" style="6" customWidth="1"/>
    <col min="3539" max="3539" width="3.85546875" style="6" customWidth="1"/>
    <col min="3540" max="3542" width="14.42578125" style="6" customWidth="1"/>
    <col min="3543" max="3543" width="4.140625" style="6" customWidth="1"/>
    <col min="3544" max="3544" width="15" style="6" customWidth="1"/>
    <col min="3545" max="3546" width="9.140625" style="6" customWidth="1"/>
    <col min="3547" max="3547" width="11.5703125" style="6" customWidth="1"/>
    <col min="3548" max="3548" width="18.140625" style="6" customWidth="1"/>
    <col min="3549" max="3549" width="13.140625" style="6" customWidth="1"/>
    <col min="3550" max="3550" width="12.28515625" style="6" customWidth="1"/>
    <col min="3551" max="3788" width="9.140625" style="6"/>
    <col min="3789" max="3789" width="1.42578125" style="6" customWidth="1"/>
    <col min="3790" max="3790" width="59.5703125" style="6" customWidth="1"/>
    <col min="3791" max="3791" width="9.140625" style="6" customWidth="1"/>
    <col min="3792" max="3793" width="3.85546875" style="6" customWidth="1"/>
    <col min="3794" max="3794" width="10.5703125" style="6" customWidth="1"/>
    <col min="3795" max="3795" width="3.85546875" style="6" customWidth="1"/>
    <col min="3796" max="3798" width="14.42578125" style="6" customWidth="1"/>
    <col min="3799" max="3799" width="4.140625" style="6" customWidth="1"/>
    <col min="3800" max="3800" width="15" style="6" customWidth="1"/>
    <col min="3801" max="3802" width="9.140625" style="6" customWidth="1"/>
    <col min="3803" max="3803" width="11.5703125" style="6" customWidth="1"/>
    <col min="3804" max="3804" width="18.140625" style="6" customWidth="1"/>
    <col min="3805" max="3805" width="13.140625" style="6" customWidth="1"/>
    <col min="3806" max="3806" width="12.28515625" style="6" customWidth="1"/>
    <col min="3807" max="4044" width="9.140625" style="6"/>
    <col min="4045" max="4045" width="1.42578125" style="6" customWidth="1"/>
    <col min="4046" max="4046" width="59.5703125" style="6" customWidth="1"/>
    <col min="4047" max="4047" width="9.140625" style="6" customWidth="1"/>
    <col min="4048" max="4049" width="3.85546875" style="6" customWidth="1"/>
    <col min="4050" max="4050" width="10.5703125" style="6" customWidth="1"/>
    <col min="4051" max="4051" width="3.85546875" style="6" customWidth="1"/>
    <col min="4052" max="4054" width="14.42578125" style="6" customWidth="1"/>
    <col min="4055" max="4055" width="4.140625" style="6" customWidth="1"/>
    <col min="4056" max="4056" width="15" style="6" customWidth="1"/>
    <col min="4057" max="4058" width="9.140625" style="6" customWidth="1"/>
    <col min="4059" max="4059" width="11.5703125" style="6" customWidth="1"/>
    <col min="4060" max="4060" width="18.140625" style="6" customWidth="1"/>
    <col min="4061" max="4061" width="13.140625" style="6" customWidth="1"/>
    <col min="4062" max="4062" width="12.28515625" style="6" customWidth="1"/>
    <col min="4063" max="4300" width="9.140625" style="6"/>
    <col min="4301" max="4301" width="1.42578125" style="6" customWidth="1"/>
    <col min="4302" max="4302" width="59.5703125" style="6" customWidth="1"/>
    <col min="4303" max="4303" width="9.140625" style="6" customWidth="1"/>
    <col min="4304" max="4305" width="3.85546875" style="6" customWidth="1"/>
    <col min="4306" max="4306" width="10.5703125" style="6" customWidth="1"/>
    <col min="4307" max="4307" width="3.85546875" style="6" customWidth="1"/>
    <col min="4308" max="4310" width="14.42578125" style="6" customWidth="1"/>
    <col min="4311" max="4311" width="4.140625" style="6" customWidth="1"/>
    <col min="4312" max="4312" width="15" style="6" customWidth="1"/>
    <col min="4313" max="4314" width="9.140625" style="6" customWidth="1"/>
    <col min="4315" max="4315" width="11.5703125" style="6" customWidth="1"/>
    <col min="4316" max="4316" width="18.140625" style="6" customWidth="1"/>
    <col min="4317" max="4317" width="13.140625" style="6" customWidth="1"/>
    <col min="4318" max="4318" width="12.28515625" style="6" customWidth="1"/>
    <col min="4319" max="4556" width="9.140625" style="6"/>
    <col min="4557" max="4557" width="1.42578125" style="6" customWidth="1"/>
    <col min="4558" max="4558" width="59.5703125" style="6" customWidth="1"/>
    <col min="4559" max="4559" width="9.140625" style="6" customWidth="1"/>
    <col min="4560" max="4561" width="3.85546875" style="6" customWidth="1"/>
    <col min="4562" max="4562" width="10.5703125" style="6" customWidth="1"/>
    <col min="4563" max="4563" width="3.85546875" style="6" customWidth="1"/>
    <col min="4564" max="4566" width="14.42578125" style="6" customWidth="1"/>
    <col min="4567" max="4567" width="4.140625" style="6" customWidth="1"/>
    <col min="4568" max="4568" width="15" style="6" customWidth="1"/>
    <col min="4569" max="4570" width="9.140625" style="6" customWidth="1"/>
    <col min="4571" max="4571" width="11.5703125" style="6" customWidth="1"/>
    <col min="4572" max="4572" width="18.140625" style="6" customWidth="1"/>
    <col min="4573" max="4573" width="13.140625" style="6" customWidth="1"/>
    <col min="4574" max="4574" width="12.28515625" style="6" customWidth="1"/>
    <col min="4575" max="4812" width="9.140625" style="6"/>
    <col min="4813" max="4813" width="1.42578125" style="6" customWidth="1"/>
    <col min="4814" max="4814" width="59.5703125" style="6" customWidth="1"/>
    <col min="4815" max="4815" width="9.140625" style="6" customWidth="1"/>
    <col min="4816" max="4817" width="3.85546875" style="6" customWidth="1"/>
    <col min="4818" max="4818" width="10.5703125" style="6" customWidth="1"/>
    <col min="4819" max="4819" width="3.85546875" style="6" customWidth="1"/>
    <col min="4820" max="4822" width="14.42578125" style="6" customWidth="1"/>
    <col min="4823" max="4823" width="4.140625" style="6" customWidth="1"/>
    <col min="4824" max="4824" width="15" style="6" customWidth="1"/>
    <col min="4825" max="4826" width="9.140625" style="6" customWidth="1"/>
    <col min="4827" max="4827" width="11.5703125" style="6" customWidth="1"/>
    <col min="4828" max="4828" width="18.140625" style="6" customWidth="1"/>
    <col min="4829" max="4829" width="13.140625" style="6" customWidth="1"/>
    <col min="4830" max="4830" width="12.28515625" style="6" customWidth="1"/>
    <col min="4831" max="5068" width="9.140625" style="6"/>
    <col min="5069" max="5069" width="1.42578125" style="6" customWidth="1"/>
    <col min="5070" max="5070" width="59.5703125" style="6" customWidth="1"/>
    <col min="5071" max="5071" width="9.140625" style="6" customWidth="1"/>
    <col min="5072" max="5073" width="3.85546875" style="6" customWidth="1"/>
    <col min="5074" max="5074" width="10.5703125" style="6" customWidth="1"/>
    <col min="5075" max="5075" width="3.85546875" style="6" customWidth="1"/>
    <col min="5076" max="5078" width="14.42578125" style="6" customWidth="1"/>
    <col min="5079" max="5079" width="4.140625" style="6" customWidth="1"/>
    <col min="5080" max="5080" width="15" style="6" customWidth="1"/>
    <col min="5081" max="5082" width="9.140625" style="6" customWidth="1"/>
    <col min="5083" max="5083" width="11.5703125" style="6" customWidth="1"/>
    <col min="5084" max="5084" width="18.140625" style="6" customWidth="1"/>
    <col min="5085" max="5085" width="13.140625" style="6" customWidth="1"/>
    <col min="5086" max="5086" width="12.28515625" style="6" customWidth="1"/>
    <col min="5087" max="5324" width="9.140625" style="6"/>
    <col min="5325" max="5325" width="1.42578125" style="6" customWidth="1"/>
    <col min="5326" max="5326" width="59.5703125" style="6" customWidth="1"/>
    <col min="5327" max="5327" width="9.140625" style="6" customWidth="1"/>
    <col min="5328" max="5329" width="3.85546875" style="6" customWidth="1"/>
    <col min="5330" max="5330" width="10.5703125" style="6" customWidth="1"/>
    <col min="5331" max="5331" width="3.85546875" style="6" customWidth="1"/>
    <col min="5332" max="5334" width="14.42578125" style="6" customWidth="1"/>
    <col min="5335" max="5335" width="4.140625" style="6" customWidth="1"/>
    <col min="5336" max="5336" width="15" style="6" customWidth="1"/>
    <col min="5337" max="5338" width="9.140625" style="6" customWidth="1"/>
    <col min="5339" max="5339" width="11.5703125" style="6" customWidth="1"/>
    <col min="5340" max="5340" width="18.140625" style="6" customWidth="1"/>
    <col min="5341" max="5341" width="13.140625" style="6" customWidth="1"/>
    <col min="5342" max="5342" width="12.28515625" style="6" customWidth="1"/>
    <col min="5343" max="5580" width="9.140625" style="6"/>
    <col min="5581" max="5581" width="1.42578125" style="6" customWidth="1"/>
    <col min="5582" max="5582" width="59.5703125" style="6" customWidth="1"/>
    <col min="5583" max="5583" width="9.140625" style="6" customWidth="1"/>
    <col min="5584" max="5585" width="3.85546875" style="6" customWidth="1"/>
    <col min="5586" max="5586" width="10.5703125" style="6" customWidth="1"/>
    <col min="5587" max="5587" width="3.85546875" style="6" customWidth="1"/>
    <col min="5588" max="5590" width="14.42578125" style="6" customWidth="1"/>
    <col min="5591" max="5591" width="4.140625" style="6" customWidth="1"/>
    <col min="5592" max="5592" width="15" style="6" customWidth="1"/>
    <col min="5593" max="5594" width="9.140625" style="6" customWidth="1"/>
    <col min="5595" max="5595" width="11.5703125" style="6" customWidth="1"/>
    <col min="5596" max="5596" width="18.140625" style="6" customWidth="1"/>
    <col min="5597" max="5597" width="13.140625" style="6" customWidth="1"/>
    <col min="5598" max="5598" width="12.28515625" style="6" customWidth="1"/>
    <col min="5599" max="5836" width="9.140625" style="6"/>
    <col min="5837" max="5837" width="1.42578125" style="6" customWidth="1"/>
    <col min="5838" max="5838" width="59.5703125" style="6" customWidth="1"/>
    <col min="5839" max="5839" width="9.140625" style="6" customWidth="1"/>
    <col min="5840" max="5841" width="3.85546875" style="6" customWidth="1"/>
    <col min="5842" max="5842" width="10.5703125" style="6" customWidth="1"/>
    <col min="5843" max="5843" width="3.85546875" style="6" customWidth="1"/>
    <col min="5844" max="5846" width="14.42578125" style="6" customWidth="1"/>
    <col min="5847" max="5847" width="4.140625" style="6" customWidth="1"/>
    <col min="5848" max="5848" width="15" style="6" customWidth="1"/>
    <col min="5849" max="5850" width="9.140625" style="6" customWidth="1"/>
    <col min="5851" max="5851" width="11.5703125" style="6" customWidth="1"/>
    <col min="5852" max="5852" width="18.140625" style="6" customWidth="1"/>
    <col min="5853" max="5853" width="13.140625" style="6" customWidth="1"/>
    <col min="5854" max="5854" width="12.28515625" style="6" customWidth="1"/>
    <col min="5855" max="6092" width="9.140625" style="6"/>
    <col min="6093" max="6093" width="1.42578125" style="6" customWidth="1"/>
    <col min="6094" max="6094" width="59.5703125" style="6" customWidth="1"/>
    <col min="6095" max="6095" width="9.140625" style="6" customWidth="1"/>
    <col min="6096" max="6097" width="3.85546875" style="6" customWidth="1"/>
    <col min="6098" max="6098" width="10.5703125" style="6" customWidth="1"/>
    <col min="6099" max="6099" width="3.85546875" style="6" customWidth="1"/>
    <col min="6100" max="6102" width="14.42578125" style="6" customWidth="1"/>
    <col min="6103" max="6103" width="4.140625" style="6" customWidth="1"/>
    <col min="6104" max="6104" width="15" style="6" customWidth="1"/>
    <col min="6105" max="6106" width="9.140625" style="6" customWidth="1"/>
    <col min="6107" max="6107" width="11.5703125" style="6" customWidth="1"/>
    <col min="6108" max="6108" width="18.140625" style="6" customWidth="1"/>
    <col min="6109" max="6109" width="13.140625" style="6" customWidth="1"/>
    <col min="6110" max="6110" width="12.28515625" style="6" customWidth="1"/>
    <col min="6111" max="6348" width="9.140625" style="6"/>
    <col min="6349" max="6349" width="1.42578125" style="6" customWidth="1"/>
    <col min="6350" max="6350" width="59.5703125" style="6" customWidth="1"/>
    <col min="6351" max="6351" width="9.140625" style="6" customWidth="1"/>
    <col min="6352" max="6353" width="3.85546875" style="6" customWidth="1"/>
    <col min="6354" max="6354" width="10.5703125" style="6" customWidth="1"/>
    <col min="6355" max="6355" width="3.85546875" style="6" customWidth="1"/>
    <col min="6356" max="6358" width="14.42578125" style="6" customWidth="1"/>
    <col min="6359" max="6359" width="4.140625" style="6" customWidth="1"/>
    <col min="6360" max="6360" width="15" style="6" customWidth="1"/>
    <col min="6361" max="6362" width="9.140625" style="6" customWidth="1"/>
    <col min="6363" max="6363" width="11.5703125" style="6" customWidth="1"/>
    <col min="6364" max="6364" width="18.140625" style="6" customWidth="1"/>
    <col min="6365" max="6365" width="13.140625" style="6" customWidth="1"/>
    <col min="6366" max="6366" width="12.28515625" style="6" customWidth="1"/>
    <col min="6367" max="6604" width="9.140625" style="6"/>
    <col min="6605" max="6605" width="1.42578125" style="6" customWidth="1"/>
    <col min="6606" max="6606" width="59.5703125" style="6" customWidth="1"/>
    <col min="6607" max="6607" width="9.140625" style="6" customWidth="1"/>
    <col min="6608" max="6609" width="3.85546875" style="6" customWidth="1"/>
    <col min="6610" max="6610" width="10.5703125" style="6" customWidth="1"/>
    <col min="6611" max="6611" width="3.85546875" style="6" customWidth="1"/>
    <col min="6612" max="6614" width="14.42578125" style="6" customWidth="1"/>
    <col min="6615" max="6615" width="4.140625" style="6" customWidth="1"/>
    <col min="6616" max="6616" width="15" style="6" customWidth="1"/>
    <col min="6617" max="6618" width="9.140625" style="6" customWidth="1"/>
    <col min="6619" max="6619" width="11.5703125" style="6" customWidth="1"/>
    <col min="6620" max="6620" width="18.140625" style="6" customWidth="1"/>
    <col min="6621" max="6621" width="13.140625" style="6" customWidth="1"/>
    <col min="6622" max="6622" width="12.28515625" style="6" customWidth="1"/>
    <col min="6623" max="6860" width="9.140625" style="6"/>
    <col min="6861" max="6861" width="1.42578125" style="6" customWidth="1"/>
    <col min="6862" max="6862" width="59.5703125" style="6" customWidth="1"/>
    <col min="6863" max="6863" width="9.140625" style="6" customWidth="1"/>
    <col min="6864" max="6865" width="3.85546875" style="6" customWidth="1"/>
    <col min="6866" max="6866" width="10.5703125" style="6" customWidth="1"/>
    <col min="6867" max="6867" width="3.85546875" style="6" customWidth="1"/>
    <col min="6868" max="6870" width="14.42578125" style="6" customWidth="1"/>
    <col min="6871" max="6871" width="4.140625" style="6" customWidth="1"/>
    <col min="6872" max="6872" width="15" style="6" customWidth="1"/>
    <col min="6873" max="6874" width="9.140625" style="6" customWidth="1"/>
    <col min="6875" max="6875" width="11.5703125" style="6" customWidth="1"/>
    <col min="6876" max="6876" width="18.140625" style="6" customWidth="1"/>
    <col min="6877" max="6877" width="13.140625" style="6" customWidth="1"/>
    <col min="6878" max="6878" width="12.28515625" style="6" customWidth="1"/>
    <col min="6879" max="7116" width="9.140625" style="6"/>
    <col min="7117" max="7117" width="1.42578125" style="6" customWidth="1"/>
    <col min="7118" max="7118" width="59.5703125" style="6" customWidth="1"/>
    <col min="7119" max="7119" width="9.140625" style="6" customWidth="1"/>
    <col min="7120" max="7121" width="3.85546875" style="6" customWidth="1"/>
    <col min="7122" max="7122" width="10.5703125" style="6" customWidth="1"/>
    <col min="7123" max="7123" width="3.85546875" style="6" customWidth="1"/>
    <col min="7124" max="7126" width="14.42578125" style="6" customWidth="1"/>
    <col min="7127" max="7127" width="4.140625" style="6" customWidth="1"/>
    <col min="7128" max="7128" width="15" style="6" customWidth="1"/>
    <col min="7129" max="7130" width="9.140625" style="6" customWidth="1"/>
    <col min="7131" max="7131" width="11.5703125" style="6" customWidth="1"/>
    <col min="7132" max="7132" width="18.140625" style="6" customWidth="1"/>
    <col min="7133" max="7133" width="13.140625" style="6" customWidth="1"/>
    <col min="7134" max="7134" width="12.28515625" style="6" customWidth="1"/>
    <col min="7135" max="7372" width="9.140625" style="6"/>
    <col min="7373" max="7373" width="1.42578125" style="6" customWidth="1"/>
    <col min="7374" max="7374" width="59.5703125" style="6" customWidth="1"/>
    <col min="7375" max="7375" width="9.140625" style="6" customWidth="1"/>
    <col min="7376" max="7377" width="3.85546875" style="6" customWidth="1"/>
    <col min="7378" max="7378" width="10.5703125" style="6" customWidth="1"/>
    <col min="7379" max="7379" width="3.85546875" style="6" customWidth="1"/>
    <col min="7380" max="7382" width="14.42578125" style="6" customWidth="1"/>
    <col min="7383" max="7383" width="4.140625" style="6" customWidth="1"/>
    <col min="7384" max="7384" width="15" style="6" customWidth="1"/>
    <col min="7385" max="7386" width="9.140625" style="6" customWidth="1"/>
    <col min="7387" max="7387" width="11.5703125" style="6" customWidth="1"/>
    <col min="7388" max="7388" width="18.140625" style="6" customWidth="1"/>
    <col min="7389" max="7389" width="13.140625" style="6" customWidth="1"/>
    <col min="7390" max="7390" width="12.28515625" style="6" customWidth="1"/>
    <col min="7391" max="7628" width="9.140625" style="6"/>
    <col min="7629" max="7629" width="1.42578125" style="6" customWidth="1"/>
    <col min="7630" max="7630" width="59.5703125" style="6" customWidth="1"/>
    <col min="7631" max="7631" width="9.140625" style="6" customWidth="1"/>
    <col min="7632" max="7633" width="3.85546875" style="6" customWidth="1"/>
    <col min="7634" max="7634" width="10.5703125" style="6" customWidth="1"/>
    <col min="7635" max="7635" width="3.85546875" style="6" customWidth="1"/>
    <col min="7636" max="7638" width="14.42578125" style="6" customWidth="1"/>
    <col min="7639" max="7639" width="4.140625" style="6" customWidth="1"/>
    <col min="7640" max="7640" width="15" style="6" customWidth="1"/>
    <col min="7641" max="7642" width="9.140625" style="6" customWidth="1"/>
    <col min="7643" max="7643" width="11.5703125" style="6" customWidth="1"/>
    <col min="7644" max="7644" width="18.140625" style="6" customWidth="1"/>
    <col min="7645" max="7645" width="13.140625" style="6" customWidth="1"/>
    <col min="7646" max="7646" width="12.28515625" style="6" customWidth="1"/>
    <col min="7647" max="7884" width="9.140625" style="6"/>
    <col min="7885" max="7885" width="1.42578125" style="6" customWidth="1"/>
    <col min="7886" max="7886" width="59.5703125" style="6" customWidth="1"/>
    <col min="7887" max="7887" width="9.140625" style="6" customWidth="1"/>
    <col min="7888" max="7889" width="3.85546875" style="6" customWidth="1"/>
    <col min="7890" max="7890" width="10.5703125" style="6" customWidth="1"/>
    <col min="7891" max="7891" width="3.85546875" style="6" customWidth="1"/>
    <col min="7892" max="7894" width="14.42578125" style="6" customWidth="1"/>
    <col min="7895" max="7895" width="4.140625" style="6" customWidth="1"/>
    <col min="7896" max="7896" width="15" style="6" customWidth="1"/>
    <col min="7897" max="7898" width="9.140625" style="6" customWidth="1"/>
    <col min="7899" max="7899" width="11.5703125" style="6" customWidth="1"/>
    <col min="7900" max="7900" width="18.140625" style="6" customWidth="1"/>
    <col min="7901" max="7901" width="13.140625" style="6" customWidth="1"/>
    <col min="7902" max="7902" width="12.28515625" style="6" customWidth="1"/>
    <col min="7903" max="8140" width="9.140625" style="6"/>
    <col min="8141" max="8141" width="1.42578125" style="6" customWidth="1"/>
    <col min="8142" max="8142" width="59.5703125" style="6" customWidth="1"/>
    <col min="8143" max="8143" width="9.140625" style="6" customWidth="1"/>
    <col min="8144" max="8145" width="3.85546875" style="6" customWidth="1"/>
    <col min="8146" max="8146" width="10.5703125" style="6" customWidth="1"/>
    <col min="8147" max="8147" width="3.85546875" style="6" customWidth="1"/>
    <col min="8148" max="8150" width="14.42578125" style="6" customWidth="1"/>
    <col min="8151" max="8151" width="4.140625" style="6" customWidth="1"/>
    <col min="8152" max="8152" width="15" style="6" customWidth="1"/>
    <col min="8153" max="8154" width="9.140625" style="6" customWidth="1"/>
    <col min="8155" max="8155" width="11.5703125" style="6" customWidth="1"/>
    <col min="8156" max="8156" width="18.140625" style="6" customWidth="1"/>
    <col min="8157" max="8157" width="13.140625" style="6" customWidth="1"/>
    <col min="8158" max="8158" width="12.28515625" style="6" customWidth="1"/>
    <col min="8159" max="8396" width="9.140625" style="6"/>
    <col min="8397" max="8397" width="1.42578125" style="6" customWidth="1"/>
    <col min="8398" max="8398" width="59.5703125" style="6" customWidth="1"/>
    <col min="8399" max="8399" width="9.140625" style="6" customWidth="1"/>
    <col min="8400" max="8401" width="3.85546875" style="6" customWidth="1"/>
    <col min="8402" max="8402" width="10.5703125" style="6" customWidth="1"/>
    <col min="8403" max="8403" width="3.85546875" style="6" customWidth="1"/>
    <col min="8404" max="8406" width="14.42578125" style="6" customWidth="1"/>
    <col min="8407" max="8407" width="4.140625" style="6" customWidth="1"/>
    <col min="8408" max="8408" width="15" style="6" customWidth="1"/>
    <col min="8409" max="8410" width="9.140625" style="6" customWidth="1"/>
    <col min="8411" max="8411" width="11.5703125" style="6" customWidth="1"/>
    <col min="8412" max="8412" width="18.140625" style="6" customWidth="1"/>
    <col min="8413" max="8413" width="13.140625" style="6" customWidth="1"/>
    <col min="8414" max="8414" width="12.28515625" style="6" customWidth="1"/>
    <col min="8415" max="8652" width="9.140625" style="6"/>
    <col min="8653" max="8653" width="1.42578125" style="6" customWidth="1"/>
    <col min="8654" max="8654" width="59.5703125" style="6" customWidth="1"/>
    <col min="8655" max="8655" width="9.140625" style="6" customWidth="1"/>
    <col min="8656" max="8657" width="3.85546875" style="6" customWidth="1"/>
    <col min="8658" max="8658" width="10.5703125" style="6" customWidth="1"/>
    <col min="8659" max="8659" width="3.85546875" style="6" customWidth="1"/>
    <col min="8660" max="8662" width="14.42578125" style="6" customWidth="1"/>
    <col min="8663" max="8663" width="4.140625" style="6" customWidth="1"/>
    <col min="8664" max="8664" width="15" style="6" customWidth="1"/>
    <col min="8665" max="8666" width="9.140625" style="6" customWidth="1"/>
    <col min="8667" max="8667" width="11.5703125" style="6" customWidth="1"/>
    <col min="8668" max="8668" width="18.140625" style="6" customWidth="1"/>
    <col min="8669" max="8669" width="13.140625" style="6" customWidth="1"/>
    <col min="8670" max="8670" width="12.28515625" style="6" customWidth="1"/>
    <col min="8671" max="8908" width="9.140625" style="6"/>
    <col min="8909" max="8909" width="1.42578125" style="6" customWidth="1"/>
    <col min="8910" max="8910" width="59.5703125" style="6" customWidth="1"/>
    <col min="8911" max="8911" width="9.140625" style="6" customWidth="1"/>
    <col min="8912" max="8913" width="3.85546875" style="6" customWidth="1"/>
    <col min="8914" max="8914" width="10.5703125" style="6" customWidth="1"/>
    <col min="8915" max="8915" width="3.85546875" style="6" customWidth="1"/>
    <col min="8916" max="8918" width="14.42578125" style="6" customWidth="1"/>
    <col min="8919" max="8919" width="4.140625" style="6" customWidth="1"/>
    <col min="8920" max="8920" width="15" style="6" customWidth="1"/>
    <col min="8921" max="8922" width="9.140625" style="6" customWidth="1"/>
    <col min="8923" max="8923" width="11.5703125" style="6" customWidth="1"/>
    <col min="8924" max="8924" width="18.140625" style="6" customWidth="1"/>
    <col min="8925" max="8925" width="13.140625" style="6" customWidth="1"/>
    <col min="8926" max="8926" width="12.28515625" style="6" customWidth="1"/>
    <col min="8927" max="9164" width="9.140625" style="6"/>
    <col min="9165" max="9165" width="1.42578125" style="6" customWidth="1"/>
    <col min="9166" max="9166" width="59.5703125" style="6" customWidth="1"/>
    <col min="9167" max="9167" width="9.140625" style="6" customWidth="1"/>
    <col min="9168" max="9169" width="3.85546875" style="6" customWidth="1"/>
    <col min="9170" max="9170" width="10.5703125" style="6" customWidth="1"/>
    <col min="9171" max="9171" width="3.85546875" style="6" customWidth="1"/>
    <col min="9172" max="9174" width="14.42578125" style="6" customWidth="1"/>
    <col min="9175" max="9175" width="4.140625" style="6" customWidth="1"/>
    <col min="9176" max="9176" width="15" style="6" customWidth="1"/>
    <col min="9177" max="9178" width="9.140625" style="6" customWidth="1"/>
    <col min="9179" max="9179" width="11.5703125" style="6" customWidth="1"/>
    <col min="9180" max="9180" width="18.140625" style="6" customWidth="1"/>
    <col min="9181" max="9181" width="13.140625" style="6" customWidth="1"/>
    <col min="9182" max="9182" width="12.28515625" style="6" customWidth="1"/>
    <col min="9183" max="9420" width="9.140625" style="6"/>
    <col min="9421" max="9421" width="1.42578125" style="6" customWidth="1"/>
    <col min="9422" max="9422" width="59.5703125" style="6" customWidth="1"/>
    <col min="9423" max="9423" width="9.140625" style="6" customWidth="1"/>
    <col min="9424" max="9425" width="3.85546875" style="6" customWidth="1"/>
    <col min="9426" max="9426" width="10.5703125" style="6" customWidth="1"/>
    <col min="9427" max="9427" width="3.85546875" style="6" customWidth="1"/>
    <col min="9428" max="9430" width="14.42578125" style="6" customWidth="1"/>
    <col min="9431" max="9431" width="4.140625" style="6" customWidth="1"/>
    <col min="9432" max="9432" width="15" style="6" customWidth="1"/>
    <col min="9433" max="9434" width="9.140625" style="6" customWidth="1"/>
    <col min="9435" max="9435" width="11.5703125" style="6" customWidth="1"/>
    <col min="9436" max="9436" width="18.140625" style="6" customWidth="1"/>
    <col min="9437" max="9437" width="13.140625" style="6" customWidth="1"/>
    <col min="9438" max="9438" width="12.28515625" style="6" customWidth="1"/>
    <col min="9439" max="9676" width="9.140625" style="6"/>
    <col min="9677" max="9677" width="1.42578125" style="6" customWidth="1"/>
    <col min="9678" max="9678" width="59.5703125" style="6" customWidth="1"/>
    <col min="9679" max="9679" width="9.140625" style="6" customWidth="1"/>
    <col min="9680" max="9681" width="3.85546875" style="6" customWidth="1"/>
    <col min="9682" max="9682" width="10.5703125" style="6" customWidth="1"/>
    <col min="9683" max="9683" width="3.85546875" style="6" customWidth="1"/>
    <col min="9684" max="9686" width="14.42578125" style="6" customWidth="1"/>
    <col min="9687" max="9687" width="4.140625" style="6" customWidth="1"/>
    <col min="9688" max="9688" width="15" style="6" customWidth="1"/>
    <col min="9689" max="9690" width="9.140625" style="6" customWidth="1"/>
    <col min="9691" max="9691" width="11.5703125" style="6" customWidth="1"/>
    <col min="9692" max="9692" width="18.140625" style="6" customWidth="1"/>
    <col min="9693" max="9693" width="13.140625" style="6" customWidth="1"/>
    <col min="9694" max="9694" width="12.28515625" style="6" customWidth="1"/>
    <col min="9695" max="9932" width="9.140625" style="6"/>
    <col min="9933" max="9933" width="1.42578125" style="6" customWidth="1"/>
    <col min="9934" max="9934" width="59.5703125" style="6" customWidth="1"/>
    <col min="9935" max="9935" width="9.140625" style="6" customWidth="1"/>
    <col min="9936" max="9937" width="3.85546875" style="6" customWidth="1"/>
    <col min="9938" max="9938" width="10.5703125" style="6" customWidth="1"/>
    <col min="9939" max="9939" width="3.85546875" style="6" customWidth="1"/>
    <col min="9940" max="9942" width="14.42578125" style="6" customWidth="1"/>
    <col min="9943" max="9943" width="4.140625" style="6" customWidth="1"/>
    <col min="9944" max="9944" width="15" style="6" customWidth="1"/>
    <col min="9945" max="9946" width="9.140625" style="6" customWidth="1"/>
    <col min="9947" max="9947" width="11.5703125" style="6" customWidth="1"/>
    <col min="9948" max="9948" width="18.140625" style="6" customWidth="1"/>
    <col min="9949" max="9949" width="13.140625" style="6" customWidth="1"/>
    <col min="9950" max="9950" width="12.28515625" style="6" customWidth="1"/>
    <col min="9951" max="10188" width="9.140625" style="6"/>
    <col min="10189" max="10189" width="1.42578125" style="6" customWidth="1"/>
    <col min="10190" max="10190" width="59.5703125" style="6" customWidth="1"/>
    <col min="10191" max="10191" width="9.140625" style="6" customWidth="1"/>
    <col min="10192" max="10193" width="3.85546875" style="6" customWidth="1"/>
    <col min="10194" max="10194" width="10.5703125" style="6" customWidth="1"/>
    <col min="10195" max="10195" width="3.85546875" style="6" customWidth="1"/>
    <col min="10196" max="10198" width="14.42578125" style="6" customWidth="1"/>
    <col min="10199" max="10199" width="4.140625" style="6" customWidth="1"/>
    <col min="10200" max="10200" width="15" style="6" customWidth="1"/>
    <col min="10201" max="10202" width="9.140625" style="6" customWidth="1"/>
    <col min="10203" max="10203" width="11.5703125" style="6" customWidth="1"/>
    <col min="10204" max="10204" width="18.140625" style="6" customWidth="1"/>
    <col min="10205" max="10205" width="13.140625" style="6" customWidth="1"/>
    <col min="10206" max="10206" width="12.28515625" style="6" customWidth="1"/>
    <col min="10207" max="10444" width="9.140625" style="6"/>
    <col min="10445" max="10445" width="1.42578125" style="6" customWidth="1"/>
    <col min="10446" max="10446" width="59.5703125" style="6" customWidth="1"/>
    <col min="10447" max="10447" width="9.140625" style="6" customWidth="1"/>
    <col min="10448" max="10449" width="3.85546875" style="6" customWidth="1"/>
    <col min="10450" max="10450" width="10.5703125" style="6" customWidth="1"/>
    <col min="10451" max="10451" width="3.85546875" style="6" customWidth="1"/>
    <col min="10452" max="10454" width="14.42578125" style="6" customWidth="1"/>
    <col min="10455" max="10455" width="4.140625" style="6" customWidth="1"/>
    <col min="10456" max="10456" width="15" style="6" customWidth="1"/>
    <col min="10457" max="10458" width="9.140625" style="6" customWidth="1"/>
    <col min="10459" max="10459" width="11.5703125" style="6" customWidth="1"/>
    <col min="10460" max="10460" width="18.140625" style="6" customWidth="1"/>
    <col min="10461" max="10461" width="13.140625" style="6" customWidth="1"/>
    <col min="10462" max="10462" width="12.28515625" style="6" customWidth="1"/>
    <col min="10463" max="10700" width="9.140625" style="6"/>
    <col min="10701" max="10701" width="1.42578125" style="6" customWidth="1"/>
    <col min="10702" max="10702" width="59.5703125" style="6" customWidth="1"/>
    <col min="10703" max="10703" width="9.140625" style="6" customWidth="1"/>
    <col min="10704" max="10705" width="3.85546875" style="6" customWidth="1"/>
    <col min="10706" max="10706" width="10.5703125" style="6" customWidth="1"/>
    <col min="10707" max="10707" width="3.85546875" style="6" customWidth="1"/>
    <col min="10708" max="10710" width="14.42578125" style="6" customWidth="1"/>
    <col min="10711" max="10711" width="4.140625" style="6" customWidth="1"/>
    <col min="10712" max="10712" width="15" style="6" customWidth="1"/>
    <col min="10713" max="10714" width="9.140625" style="6" customWidth="1"/>
    <col min="10715" max="10715" width="11.5703125" style="6" customWidth="1"/>
    <col min="10716" max="10716" width="18.140625" style="6" customWidth="1"/>
    <col min="10717" max="10717" width="13.140625" style="6" customWidth="1"/>
    <col min="10718" max="10718" width="12.28515625" style="6" customWidth="1"/>
    <col min="10719" max="10956" width="9.140625" style="6"/>
    <col min="10957" max="10957" width="1.42578125" style="6" customWidth="1"/>
    <col min="10958" max="10958" width="59.5703125" style="6" customWidth="1"/>
    <col min="10959" max="10959" width="9.140625" style="6" customWidth="1"/>
    <col min="10960" max="10961" width="3.85546875" style="6" customWidth="1"/>
    <col min="10962" max="10962" width="10.5703125" style="6" customWidth="1"/>
    <col min="10963" max="10963" width="3.85546875" style="6" customWidth="1"/>
    <col min="10964" max="10966" width="14.42578125" style="6" customWidth="1"/>
    <col min="10967" max="10967" width="4.140625" style="6" customWidth="1"/>
    <col min="10968" max="10968" width="15" style="6" customWidth="1"/>
    <col min="10969" max="10970" width="9.140625" style="6" customWidth="1"/>
    <col min="10971" max="10971" width="11.5703125" style="6" customWidth="1"/>
    <col min="10972" max="10972" width="18.140625" style="6" customWidth="1"/>
    <col min="10973" max="10973" width="13.140625" style="6" customWidth="1"/>
    <col min="10974" max="10974" width="12.28515625" style="6" customWidth="1"/>
    <col min="10975" max="11212" width="9.140625" style="6"/>
    <col min="11213" max="11213" width="1.42578125" style="6" customWidth="1"/>
    <col min="11214" max="11214" width="59.5703125" style="6" customWidth="1"/>
    <col min="11215" max="11215" width="9.140625" style="6" customWidth="1"/>
    <col min="11216" max="11217" width="3.85546875" style="6" customWidth="1"/>
    <col min="11218" max="11218" width="10.5703125" style="6" customWidth="1"/>
    <col min="11219" max="11219" width="3.85546875" style="6" customWidth="1"/>
    <col min="11220" max="11222" width="14.42578125" style="6" customWidth="1"/>
    <col min="11223" max="11223" width="4.140625" style="6" customWidth="1"/>
    <col min="11224" max="11224" width="15" style="6" customWidth="1"/>
    <col min="11225" max="11226" width="9.140625" style="6" customWidth="1"/>
    <col min="11227" max="11227" width="11.5703125" style="6" customWidth="1"/>
    <col min="11228" max="11228" width="18.140625" style="6" customWidth="1"/>
    <col min="11229" max="11229" width="13.140625" style="6" customWidth="1"/>
    <col min="11230" max="11230" width="12.28515625" style="6" customWidth="1"/>
    <col min="11231" max="11468" width="9.140625" style="6"/>
    <col min="11469" max="11469" width="1.42578125" style="6" customWidth="1"/>
    <col min="11470" max="11470" width="59.5703125" style="6" customWidth="1"/>
    <col min="11471" max="11471" width="9.140625" style="6" customWidth="1"/>
    <col min="11472" max="11473" width="3.85546875" style="6" customWidth="1"/>
    <col min="11474" max="11474" width="10.5703125" style="6" customWidth="1"/>
    <col min="11475" max="11475" width="3.85546875" style="6" customWidth="1"/>
    <col min="11476" max="11478" width="14.42578125" style="6" customWidth="1"/>
    <col min="11479" max="11479" width="4.140625" style="6" customWidth="1"/>
    <col min="11480" max="11480" width="15" style="6" customWidth="1"/>
    <col min="11481" max="11482" width="9.140625" style="6" customWidth="1"/>
    <col min="11483" max="11483" width="11.5703125" style="6" customWidth="1"/>
    <col min="11484" max="11484" width="18.140625" style="6" customWidth="1"/>
    <col min="11485" max="11485" width="13.140625" style="6" customWidth="1"/>
    <col min="11486" max="11486" width="12.28515625" style="6" customWidth="1"/>
    <col min="11487" max="11724" width="9.140625" style="6"/>
    <col min="11725" max="11725" width="1.42578125" style="6" customWidth="1"/>
    <col min="11726" max="11726" width="59.5703125" style="6" customWidth="1"/>
    <col min="11727" max="11727" width="9.140625" style="6" customWidth="1"/>
    <col min="11728" max="11729" width="3.85546875" style="6" customWidth="1"/>
    <col min="11730" max="11730" width="10.5703125" style="6" customWidth="1"/>
    <col min="11731" max="11731" width="3.85546875" style="6" customWidth="1"/>
    <col min="11732" max="11734" width="14.42578125" style="6" customWidth="1"/>
    <col min="11735" max="11735" width="4.140625" style="6" customWidth="1"/>
    <col min="11736" max="11736" width="15" style="6" customWidth="1"/>
    <col min="11737" max="11738" width="9.140625" style="6" customWidth="1"/>
    <col min="11739" max="11739" width="11.5703125" style="6" customWidth="1"/>
    <col min="11740" max="11740" width="18.140625" style="6" customWidth="1"/>
    <col min="11741" max="11741" width="13.140625" style="6" customWidth="1"/>
    <col min="11742" max="11742" width="12.28515625" style="6" customWidth="1"/>
    <col min="11743" max="11980" width="9.140625" style="6"/>
    <col min="11981" max="11981" width="1.42578125" style="6" customWidth="1"/>
    <col min="11982" max="11982" width="59.5703125" style="6" customWidth="1"/>
    <col min="11983" max="11983" width="9.140625" style="6" customWidth="1"/>
    <col min="11984" max="11985" width="3.85546875" style="6" customWidth="1"/>
    <col min="11986" max="11986" width="10.5703125" style="6" customWidth="1"/>
    <col min="11987" max="11987" width="3.85546875" style="6" customWidth="1"/>
    <col min="11988" max="11990" width="14.42578125" style="6" customWidth="1"/>
    <col min="11991" max="11991" width="4.140625" style="6" customWidth="1"/>
    <col min="11992" max="11992" width="15" style="6" customWidth="1"/>
    <col min="11993" max="11994" width="9.140625" style="6" customWidth="1"/>
    <col min="11995" max="11995" width="11.5703125" style="6" customWidth="1"/>
    <col min="11996" max="11996" width="18.140625" style="6" customWidth="1"/>
    <col min="11997" max="11997" width="13.140625" style="6" customWidth="1"/>
    <col min="11998" max="11998" width="12.28515625" style="6" customWidth="1"/>
    <col min="11999" max="12236" width="9.140625" style="6"/>
    <col min="12237" max="12237" width="1.42578125" style="6" customWidth="1"/>
    <col min="12238" max="12238" width="59.5703125" style="6" customWidth="1"/>
    <col min="12239" max="12239" width="9.140625" style="6" customWidth="1"/>
    <col min="12240" max="12241" width="3.85546875" style="6" customWidth="1"/>
    <col min="12242" max="12242" width="10.5703125" style="6" customWidth="1"/>
    <col min="12243" max="12243" width="3.85546875" style="6" customWidth="1"/>
    <col min="12244" max="12246" width="14.42578125" style="6" customWidth="1"/>
    <col min="12247" max="12247" width="4.140625" style="6" customWidth="1"/>
    <col min="12248" max="12248" width="15" style="6" customWidth="1"/>
    <col min="12249" max="12250" width="9.140625" style="6" customWidth="1"/>
    <col min="12251" max="12251" width="11.5703125" style="6" customWidth="1"/>
    <col min="12252" max="12252" width="18.140625" style="6" customWidth="1"/>
    <col min="12253" max="12253" width="13.140625" style="6" customWidth="1"/>
    <col min="12254" max="12254" width="12.28515625" style="6" customWidth="1"/>
    <col min="12255" max="12492" width="9.140625" style="6"/>
    <col min="12493" max="12493" width="1.42578125" style="6" customWidth="1"/>
    <col min="12494" max="12494" width="59.5703125" style="6" customWidth="1"/>
    <col min="12495" max="12495" width="9.140625" style="6" customWidth="1"/>
    <col min="12496" max="12497" width="3.85546875" style="6" customWidth="1"/>
    <col min="12498" max="12498" width="10.5703125" style="6" customWidth="1"/>
    <col min="12499" max="12499" width="3.85546875" style="6" customWidth="1"/>
    <col min="12500" max="12502" width="14.42578125" style="6" customWidth="1"/>
    <col min="12503" max="12503" width="4.140625" style="6" customWidth="1"/>
    <col min="12504" max="12504" width="15" style="6" customWidth="1"/>
    <col min="12505" max="12506" width="9.140625" style="6" customWidth="1"/>
    <col min="12507" max="12507" width="11.5703125" style="6" customWidth="1"/>
    <col min="12508" max="12508" width="18.140625" style="6" customWidth="1"/>
    <col min="12509" max="12509" width="13.140625" style="6" customWidth="1"/>
    <col min="12510" max="12510" width="12.28515625" style="6" customWidth="1"/>
    <col min="12511" max="12748" width="9.140625" style="6"/>
    <col min="12749" max="12749" width="1.42578125" style="6" customWidth="1"/>
    <col min="12750" max="12750" width="59.5703125" style="6" customWidth="1"/>
    <col min="12751" max="12751" width="9.140625" style="6" customWidth="1"/>
    <col min="12752" max="12753" width="3.85546875" style="6" customWidth="1"/>
    <col min="12754" max="12754" width="10.5703125" style="6" customWidth="1"/>
    <col min="12755" max="12755" width="3.85546875" style="6" customWidth="1"/>
    <col min="12756" max="12758" width="14.42578125" style="6" customWidth="1"/>
    <col min="12759" max="12759" width="4.140625" style="6" customWidth="1"/>
    <col min="12760" max="12760" width="15" style="6" customWidth="1"/>
    <col min="12761" max="12762" width="9.140625" style="6" customWidth="1"/>
    <col min="12763" max="12763" width="11.5703125" style="6" customWidth="1"/>
    <col min="12764" max="12764" width="18.140625" style="6" customWidth="1"/>
    <col min="12765" max="12765" width="13.140625" style="6" customWidth="1"/>
    <col min="12766" max="12766" width="12.28515625" style="6" customWidth="1"/>
    <col min="12767" max="13004" width="9.140625" style="6"/>
    <col min="13005" max="13005" width="1.42578125" style="6" customWidth="1"/>
    <col min="13006" max="13006" width="59.5703125" style="6" customWidth="1"/>
    <col min="13007" max="13007" width="9.140625" style="6" customWidth="1"/>
    <col min="13008" max="13009" width="3.85546875" style="6" customWidth="1"/>
    <col min="13010" max="13010" width="10.5703125" style="6" customWidth="1"/>
    <col min="13011" max="13011" width="3.85546875" style="6" customWidth="1"/>
    <col min="13012" max="13014" width="14.42578125" style="6" customWidth="1"/>
    <col min="13015" max="13015" width="4.140625" style="6" customWidth="1"/>
    <col min="13016" max="13016" width="15" style="6" customWidth="1"/>
    <col min="13017" max="13018" width="9.140625" style="6" customWidth="1"/>
    <col min="13019" max="13019" width="11.5703125" style="6" customWidth="1"/>
    <col min="13020" max="13020" width="18.140625" style="6" customWidth="1"/>
    <col min="13021" max="13021" width="13.140625" style="6" customWidth="1"/>
    <col min="13022" max="13022" width="12.28515625" style="6" customWidth="1"/>
    <col min="13023" max="13260" width="9.140625" style="6"/>
    <col min="13261" max="13261" width="1.42578125" style="6" customWidth="1"/>
    <col min="13262" max="13262" width="59.5703125" style="6" customWidth="1"/>
    <col min="13263" max="13263" width="9.140625" style="6" customWidth="1"/>
    <col min="13264" max="13265" width="3.85546875" style="6" customWidth="1"/>
    <col min="13266" max="13266" width="10.5703125" style="6" customWidth="1"/>
    <col min="13267" max="13267" width="3.85546875" style="6" customWidth="1"/>
    <col min="13268" max="13270" width="14.42578125" style="6" customWidth="1"/>
    <col min="13271" max="13271" width="4.140625" style="6" customWidth="1"/>
    <col min="13272" max="13272" width="15" style="6" customWidth="1"/>
    <col min="13273" max="13274" width="9.140625" style="6" customWidth="1"/>
    <col min="13275" max="13275" width="11.5703125" style="6" customWidth="1"/>
    <col min="13276" max="13276" width="18.140625" style="6" customWidth="1"/>
    <col min="13277" max="13277" width="13.140625" style="6" customWidth="1"/>
    <col min="13278" max="13278" width="12.28515625" style="6" customWidth="1"/>
    <col min="13279" max="13516" width="9.140625" style="6"/>
    <col min="13517" max="13517" width="1.42578125" style="6" customWidth="1"/>
    <col min="13518" max="13518" width="59.5703125" style="6" customWidth="1"/>
    <col min="13519" max="13519" width="9.140625" style="6" customWidth="1"/>
    <col min="13520" max="13521" width="3.85546875" style="6" customWidth="1"/>
    <col min="13522" max="13522" width="10.5703125" style="6" customWidth="1"/>
    <col min="13523" max="13523" width="3.85546875" style="6" customWidth="1"/>
    <col min="13524" max="13526" width="14.42578125" style="6" customWidth="1"/>
    <col min="13527" max="13527" width="4.140625" style="6" customWidth="1"/>
    <col min="13528" max="13528" width="15" style="6" customWidth="1"/>
    <col min="13529" max="13530" width="9.140625" style="6" customWidth="1"/>
    <col min="13531" max="13531" width="11.5703125" style="6" customWidth="1"/>
    <col min="13532" max="13532" width="18.140625" style="6" customWidth="1"/>
    <col min="13533" max="13533" width="13.140625" style="6" customWidth="1"/>
    <col min="13534" max="13534" width="12.28515625" style="6" customWidth="1"/>
    <col min="13535" max="13772" width="9.140625" style="6"/>
    <col min="13773" max="13773" width="1.42578125" style="6" customWidth="1"/>
    <col min="13774" max="13774" width="59.5703125" style="6" customWidth="1"/>
    <col min="13775" max="13775" width="9.140625" style="6" customWidth="1"/>
    <col min="13776" max="13777" width="3.85546875" style="6" customWidth="1"/>
    <col min="13778" max="13778" width="10.5703125" style="6" customWidth="1"/>
    <col min="13779" max="13779" width="3.85546875" style="6" customWidth="1"/>
    <col min="13780" max="13782" width="14.42578125" style="6" customWidth="1"/>
    <col min="13783" max="13783" width="4.140625" style="6" customWidth="1"/>
    <col min="13784" max="13784" width="15" style="6" customWidth="1"/>
    <col min="13785" max="13786" width="9.140625" style="6" customWidth="1"/>
    <col min="13787" max="13787" width="11.5703125" style="6" customWidth="1"/>
    <col min="13788" max="13788" width="18.140625" style="6" customWidth="1"/>
    <col min="13789" max="13789" width="13.140625" style="6" customWidth="1"/>
    <col min="13790" max="13790" width="12.28515625" style="6" customWidth="1"/>
    <col min="13791" max="14028" width="9.140625" style="6"/>
    <col min="14029" max="14029" width="1.42578125" style="6" customWidth="1"/>
    <col min="14030" max="14030" width="59.5703125" style="6" customWidth="1"/>
    <col min="14031" max="14031" width="9.140625" style="6" customWidth="1"/>
    <col min="14032" max="14033" width="3.85546875" style="6" customWidth="1"/>
    <col min="14034" max="14034" width="10.5703125" style="6" customWidth="1"/>
    <col min="14035" max="14035" width="3.85546875" style="6" customWidth="1"/>
    <col min="14036" max="14038" width="14.42578125" style="6" customWidth="1"/>
    <col min="14039" max="14039" width="4.140625" style="6" customWidth="1"/>
    <col min="14040" max="14040" width="15" style="6" customWidth="1"/>
    <col min="14041" max="14042" width="9.140625" style="6" customWidth="1"/>
    <col min="14043" max="14043" width="11.5703125" style="6" customWidth="1"/>
    <col min="14044" max="14044" width="18.140625" style="6" customWidth="1"/>
    <col min="14045" max="14045" width="13.140625" style="6" customWidth="1"/>
    <col min="14046" max="14046" width="12.28515625" style="6" customWidth="1"/>
    <col min="14047" max="14284" width="9.140625" style="6"/>
    <col min="14285" max="14285" width="1.42578125" style="6" customWidth="1"/>
    <col min="14286" max="14286" width="59.5703125" style="6" customWidth="1"/>
    <col min="14287" max="14287" width="9.140625" style="6" customWidth="1"/>
    <col min="14288" max="14289" width="3.85546875" style="6" customWidth="1"/>
    <col min="14290" max="14290" width="10.5703125" style="6" customWidth="1"/>
    <col min="14291" max="14291" width="3.85546875" style="6" customWidth="1"/>
    <col min="14292" max="14294" width="14.42578125" style="6" customWidth="1"/>
    <col min="14295" max="14295" width="4.140625" style="6" customWidth="1"/>
    <col min="14296" max="14296" width="15" style="6" customWidth="1"/>
    <col min="14297" max="14298" width="9.140625" style="6" customWidth="1"/>
    <col min="14299" max="14299" width="11.5703125" style="6" customWidth="1"/>
    <col min="14300" max="14300" width="18.140625" style="6" customWidth="1"/>
    <col min="14301" max="14301" width="13.140625" style="6" customWidth="1"/>
    <col min="14302" max="14302" width="12.28515625" style="6" customWidth="1"/>
    <col min="14303" max="14540" width="9.140625" style="6"/>
    <col min="14541" max="14541" width="1.42578125" style="6" customWidth="1"/>
    <col min="14542" max="14542" width="59.5703125" style="6" customWidth="1"/>
    <col min="14543" max="14543" width="9.140625" style="6" customWidth="1"/>
    <col min="14544" max="14545" width="3.85546875" style="6" customWidth="1"/>
    <col min="14546" max="14546" width="10.5703125" style="6" customWidth="1"/>
    <col min="14547" max="14547" width="3.85546875" style="6" customWidth="1"/>
    <col min="14548" max="14550" width="14.42578125" style="6" customWidth="1"/>
    <col min="14551" max="14551" width="4.140625" style="6" customWidth="1"/>
    <col min="14552" max="14552" width="15" style="6" customWidth="1"/>
    <col min="14553" max="14554" width="9.140625" style="6" customWidth="1"/>
    <col min="14555" max="14555" width="11.5703125" style="6" customWidth="1"/>
    <col min="14556" max="14556" width="18.140625" style="6" customWidth="1"/>
    <col min="14557" max="14557" width="13.140625" style="6" customWidth="1"/>
    <col min="14558" max="14558" width="12.28515625" style="6" customWidth="1"/>
    <col min="14559" max="14796" width="9.140625" style="6"/>
    <col min="14797" max="14797" width="1.42578125" style="6" customWidth="1"/>
    <col min="14798" max="14798" width="59.5703125" style="6" customWidth="1"/>
    <col min="14799" max="14799" width="9.140625" style="6" customWidth="1"/>
    <col min="14800" max="14801" width="3.85546875" style="6" customWidth="1"/>
    <col min="14802" max="14802" width="10.5703125" style="6" customWidth="1"/>
    <col min="14803" max="14803" width="3.85546875" style="6" customWidth="1"/>
    <col min="14804" max="14806" width="14.42578125" style="6" customWidth="1"/>
    <col min="14807" max="14807" width="4.140625" style="6" customWidth="1"/>
    <col min="14808" max="14808" width="15" style="6" customWidth="1"/>
    <col min="14809" max="14810" width="9.140625" style="6" customWidth="1"/>
    <col min="14811" max="14811" width="11.5703125" style="6" customWidth="1"/>
    <col min="14812" max="14812" width="18.140625" style="6" customWidth="1"/>
    <col min="14813" max="14813" width="13.140625" style="6" customWidth="1"/>
    <col min="14814" max="14814" width="12.28515625" style="6" customWidth="1"/>
    <col min="14815" max="15052" width="9.140625" style="6"/>
    <col min="15053" max="15053" width="1.42578125" style="6" customWidth="1"/>
    <col min="15054" max="15054" width="59.5703125" style="6" customWidth="1"/>
    <col min="15055" max="15055" width="9.140625" style="6" customWidth="1"/>
    <col min="15056" max="15057" width="3.85546875" style="6" customWidth="1"/>
    <col min="15058" max="15058" width="10.5703125" style="6" customWidth="1"/>
    <col min="15059" max="15059" width="3.85546875" style="6" customWidth="1"/>
    <col min="15060" max="15062" width="14.42578125" style="6" customWidth="1"/>
    <col min="15063" max="15063" width="4.140625" style="6" customWidth="1"/>
    <col min="15064" max="15064" width="15" style="6" customWidth="1"/>
    <col min="15065" max="15066" width="9.140625" style="6" customWidth="1"/>
    <col min="15067" max="15067" width="11.5703125" style="6" customWidth="1"/>
    <col min="15068" max="15068" width="18.140625" style="6" customWidth="1"/>
    <col min="15069" max="15069" width="13.140625" style="6" customWidth="1"/>
    <col min="15070" max="15070" width="12.28515625" style="6" customWidth="1"/>
    <col min="15071" max="15308" width="9.140625" style="6"/>
    <col min="15309" max="15309" width="1.42578125" style="6" customWidth="1"/>
    <col min="15310" max="15310" width="59.5703125" style="6" customWidth="1"/>
    <col min="15311" max="15311" width="9.140625" style="6" customWidth="1"/>
    <col min="15312" max="15313" width="3.85546875" style="6" customWidth="1"/>
    <col min="15314" max="15314" width="10.5703125" style="6" customWidth="1"/>
    <col min="15315" max="15315" width="3.85546875" style="6" customWidth="1"/>
    <col min="15316" max="15318" width="14.42578125" style="6" customWidth="1"/>
    <col min="15319" max="15319" width="4.140625" style="6" customWidth="1"/>
    <col min="15320" max="15320" width="15" style="6" customWidth="1"/>
    <col min="15321" max="15322" width="9.140625" style="6" customWidth="1"/>
    <col min="15323" max="15323" width="11.5703125" style="6" customWidth="1"/>
    <col min="15324" max="15324" width="18.140625" style="6" customWidth="1"/>
    <col min="15325" max="15325" width="13.140625" style="6" customWidth="1"/>
    <col min="15326" max="15326" width="12.28515625" style="6" customWidth="1"/>
    <col min="15327" max="15564" width="9.140625" style="6"/>
    <col min="15565" max="15565" width="1.42578125" style="6" customWidth="1"/>
    <col min="15566" max="15566" width="59.5703125" style="6" customWidth="1"/>
    <col min="15567" max="15567" width="9.140625" style="6" customWidth="1"/>
    <col min="15568" max="15569" width="3.85546875" style="6" customWidth="1"/>
    <col min="15570" max="15570" width="10.5703125" style="6" customWidth="1"/>
    <col min="15571" max="15571" width="3.85546875" style="6" customWidth="1"/>
    <col min="15572" max="15574" width="14.42578125" style="6" customWidth="1"/>
    <col min="15575" max="15575" width="4.140625" style="6" customWidth="1"/>
    <col min="15576" max="15576" width="15" style="6" customWidth="1"/>
    <col min="15577" max="15578" width="9.140625" style="6" customWidth="1"/>
    <col min="15579" max="15579" width="11.5703125" style="6" customWidth="1"/>
    <col min="15580" max="15580" width="18.140625" style="6" customWidth="1"/>
    <col min="15581" max="15581" width="13.140625" style="6" customWidth="1"/>
    <col min="15582" max="15582" width="12.28515625" style="6" customWidth="1"/>
    <col min="15583" max="15820" width="9.140625" style="6"/>
    <col min="15821" max="15821" width="1.42578125" style="6" customWidth="1"/>
    <col min="15822" max="15822" width="59.5703125" style="6" customWidth="1"/>
    <col min="15823" max="15823" width="9.140625" style="6" customWidth="1"/>
    <col min="15824" max="15825" width="3.85546875" style="6" customWidth="1"/>
    <col min="15826" max="15826" width="10.5703125" style="6" customWidth="1"/>
    <col min="15827" max="15827" width="3.85546875" style="6" customWidth="1"/>
    <col min="15828" max="15830" width="14.42578125" style="6" customWidth="1"/>
    <col min="15831" max="15831" width="4.140625" style="6" customWidth="1"/>
    <col min="15832" max="15832" width="15" style="6" customWidth="1"/>
    <col min="15833" max="15834" width="9.140625" style="6" customWidth="1"/>
    <col min="15835" max="15835" width="11.5703125" style="6" customWidth="1"/>
    <col min="15836" max="15836" width="18.140625" style="6" customWidth="1"/>
    <col min="15837" max="15837" width="13.140625" style="6" customWidth="1"/>
    <col min="15838" max="15838" width="12.28515625" style="6" customWidth="1"/>
    <col min="15839" max="16076" width="9.140625" style="6"/>
    <col min="16077" max="16077" width="1.42578125" style="6" customWidth="1"/>
    <col min="16078" max="16078" width="59.5703125" style="6" customWidth="1"/>
    <col min="16079" max="16079" width="9.140625" style="6" customWidth="1"/>
    <col min="16080" max="16081" width="3.85546875" style="6" customWidth="1"/>
    <col min="16082" max="16082" width="10.5703125" style="6" customWidth="1"/>
    <col min="16083" max="16083" width="3.85546875" style="6" customWidth="1"/>
    <col min="16084" max="16086" width="14.42578125" style="6" customWidth="1"/>
    <col min="16087" max="16087" width="4.140625" style="6" customWidth="1"/>
    <col min="16088" max="16088" width="15" style="6" customWidth="1"/>
    <col min="16089" max="16090" width="9.140625" style="6" customWidth="1"/>
    <col min="16091" max="16091" width="11.5703125" style="6" customWidth="1"/>
    <col min="16092" max="16092" width="18.140625" style="6" customWidth="1"/>
    <col min="16093" max="16093" width="13.140625" style="6" customWidth="1"/>
    <col min="16094" max="16094" width="12.28515625" style="6" customWidth="1"/>
    <col min="16095" max="16384" width="9.140625" style="6"/>
  </cols>
  <sheetData>
    <row r="1" spans="1:14" hidden="1" x14ac:dyDescent="0.25">
      <c r="F1" s="423" t="s">
        <v>795</v>
      </c>
    </row>
    <row r="2" spans="1:14" ht="34.5" hidden="1" customHeight="1" x14ac:dyDescent="0.25">
      <c r="F2" s="598" t="s">
        <v>792</v>
      </c>
      <c r="G2" s="598"/>
      <c r="H2" s="598"/>
      <c r="I2" s="598"/>
      <c r="J2" s="598"/>
      <c r="K2" s="598"/>
      <c r="L2" s="598"/>
      <c r="M2" s="598"/>
      <c r="N2" s="598"/>
    </row>
    <row r="3" spans="1:14" s="290" customFormat="1" ht="15" x14ac:dyDescent="0.25">
      <c r="A3" s="285"/>
      <c r="B3" s="285"/>
      <c r="E3" s="291"/>
      <c r="F3" s="594" t="s">
        <v>713</v>
      </c>
      <c r="G3" s="594"/>
      <c r="H3" s="594"/>
      <c r="I3" s="594"/>
      <c r="K3" s="292"/>
      <c r="L3" s="292"/>
      <c r="M3" s="292"/>
      <c r="N3" s="292"/>
    </row>
    <row r="4" spans="1:14" s="290" customFormat="1" ht="34.5" customHeight="1" x14ac:dyDescent="0.25">
      <c r="A4" s="285"/>
      <c r="B4" s="285"/>
      <c r="E4" s="291"/>
      <c r="F4" s="598" t="s">
        <v>593</v>
      </c>
      <c r="G4" s="598"/>
      <c r="H4" s="598"/>
      <c r="I4" s="598"/>
      <c r="J4" s="598"/>
      <c r="K4" s="598"/>
      <c r="L4" s="598"/>
      <c r="M4" s="598"/>
      <c r="N4" s="598"/>
    </row>
    <row r="5" spans="1:14" s="118" customFormat="1" ht="42.75" customHeight="1" x14ac:dyDescent="0.25">
      <c r="A5" s="597" t="s">
        <v>850</v>
      </c>
      <c r="B5" s="597"/>
      <c r="C5" s="597"/>
      <c r="D5" s="597"/>
      <c r="E5" s="597"/>
      <c r="F5" s="597"/>
      <c r="G5" s="597"/>
      <c r="H5" s="597"/>
      <c r="I5" s="597"/>
      <c r="J5" s="597"/>
      <c r="K5" s="597"/>
      <c r="L5" s="597"/>
      <c r="M5" s="597"/>
      <c r="N5" s="597"/>
    </row>
    <row r="6" spans="1:14" s="87" customFormat="1" x14ac:dyDescent="0.25">
      <c r="A6" s="223"/>
      <c r="B6" s="223"/>
      <c r="C6" s="223"/>
      <c r="D6" s="223"/>
      <c r="E6" s="224"/>
      <c r="F6" s="224"/>
      <c r="G6" s="224"/>
      <c r="H6" s="223"/>
      <c r="I6" s="223"/>
      <c r="J6" s="86"/>
      <c r="K6" s="86"/>
      <c r="L6" s="86"/>
      <c r="M6" s="86"/>
      <c r="N6" s="86"/>
    </row>
    <row r="7" spans="1:14" s="119" customFormat="1" ht="24" customHeight="1" x14ac:dyDescent="0.25">
      <c r="A7" s="585" t="s">
        <v>11</v>
      </c>
      <c r="B7" s="585"/>
      <c r="C7" s="343"/>
      <c r="D7" s="343"/>
      <c r="E7" s="343"/>
      <c r="F7" s="114" t="s">
        <v>12</v>
      </c>
      <c r="G7" s="114" t="s">
        <v>13</v>
      </c>
      <c r="H7" s="114" t="s">
        <v>14</v>
      </c>
      <c r="I7" s="114" t="s">
        <v>15</v>
      </c>
      <c r="J7" s="343" t="s">
        <v>547</v>
      </c>
      <c r="K7" s="430" t="s">
        <v>810</v>
      </c>
      <c r="L7" s="430" t="s">
        <v>761</v>
      </c>
      <c r="M7" s="430" t="s">
        <v>811</v>
      </c>
      <c r="N7" s="430" t="s">
        <v>547</v>
      </c>
    </row>
    <row r="8" spans="1:14" ht="15" customHeight="1" x14ac:dyDescent="0.25">
      <c r="A8" s="586" t="s">
        <v>16</v>
      </c>
      <c r="B8" s="587"/>
      <c r="C8" s="346"/>
      <c r="D8" s="346"/>
      <c r="E8" s="346">
        <v>851</v>
      </c>
      <c r="F8" s="1"/>
      <c r="G8" s="1"/>
      <c r="H8" s="1"/>
      <c r="I8" s="1"/>
      <c r="J8" s="121">
        <f>J9+J57+J64+J71+J98+J116+J126+J153+J172</f>
        <v>64255337</v>
      </c>
      <c r="K8" s="121">
        <f>K9+K57+K64+K71+K98+K116+K126+K153+K172</f>
        <v>8179526</v>
      </c>
      <c r="L8" s="121">
        <f>L9+L57+L64+L71+L98+L116+L126+L153+L172</f>
        <v>72434863</v>
      </c>
      <c r="M8" s="121">
        <f>M9+M57+M64+M71+M98+M116+M126+M153+M172</f>
        <v>-201418</v>
      </c>
      <c r="N8" s="121">
        <f>N9+N57+N64+N71+N98+N116+N126+N153+N172</f>
        <v>72233445</v>
      </c>
    </row>
    <row r="9" spans="1:14" s="11" customFormat="1" x14ac:dyDescent="0.25">
      <c r="A9" s="588" t="s">
        <v>17</v>
      </c>
      <c r="B9" s="588"/>
      <c r="C9" s="341"/>
      <c r="D9" s="341"/>
      <c r="E9" s="289">
        <v>851</v>
      </c>
      <c r="F9" s="7" t="s">
        <v>18</v>
      </c>
      <c r="G9" s="7"/>
      <c r="H9" s="7"/>
      <c r="I9" s="7"/>
      <c r="J9" s="9">
        <f>J10+J26+J30+J34</f>
        <v>23774080</v>
      </c>
      <c r="K9" s="9">
        <f>K10+K26+K30+K34</f>
        <v>803088</v>
      </c>
      <c r="L9" s="9">
        <f>L10+L26+L30+L34</f>
        <v>24577168</v>
      </c>
      <c r="M9" s="9">
        <f>M10+M26+M30+M34</f>
        <v>-23856</v>
      </c>
      <c r="N9" s="9">
        <f>N10+N26+N30+N34</f>
        <v>24553312</v>
      </c>
    </row>
    <row r="10" spans="1:14" s="15" customFormat="1" ht="36" customHeight="1" x14ac:dyDescent="0.25">
      <c r="A10" s="589" t="s">
        <v>19</v>
      </c>
      <c r="B10" s="589"/>
      <c r="C10" s="345"/>
      <c r="D10" s="345"/>
      <c r="E10" s="289">
        <v>851</v>
      </c>
      <c r="F10" s="12" t="s">
        <v>18</v>
      </c>
      <c r="G10" s="12" t="s">
        <v>7</v>
      </c>
      <c r="H10" s="12"/>
      <c r="I10" s="12"/>
      <c r="J10" s="14">
        <f>J11+J14+J23</f>
        <v>17336380</v>
      </c>
      <c r="K10" s="14">
        <f>K11+K14+K23</f>
        <v>0</v>
      </c>
      <c r="L10" s="14">
        <f>L11+L14+L23</f>
        <v>17336380</v>
      </c>
      <c r="M10" s="14">
        <f>M11+M14+M23</f>
        <v>0</v>
      </c>
      <c r="N10" s="14">
        <f>N11+N14+N23</f>
        <v>17336380</v>
      </c>
    </row>
    <row r="11" spans="1:14" ht="27" customHeight="1" x14ac:dyDescent="0.25">
      <c r="A11" s="583" t="s">
        <v>20</v>
      </c>
      <c r="B11" s="583"/>
      <c r="C11" s="333"/>
      <c r="D11" s="333"/>
      <c r="E11" s="289">
        <v>851</v>
      </c>
      <c r="F11" s="1" t="s">
        <v>18</v>
      </c>
      <c r="G11" s="1" t="s">
        <v>7</v>
      </c>
      <c r="H11" s="1" t="s">
        <v>21</v>
      </c>
      <c r="I11" s="1"/>
      <c r="J11" s="2">
        <f t="shared" ref="J11:N12" si="0">J12</f>
        <v>946200</v>
      </c>
      <c r="K11" s="2">
        <f t="shared" si="0"/>
        <v>0</v>
      </c>
      <c r="L11" s="2">
        <f t="shared" si="0"/>
        <v>946200</v>
      </c>
      <c r="M11" s="2">
        <f t="shared" si="0"/>
        <v>0</v>
      </c>
      <c r="N11" s="2">
        <f t="shared" si="0"/>
        <v>946200</v>
      </c>
    </row>
    <row r="12" spans="1:14" ht="36" customHeight="1" x14ac:dyDescent="0.25">
      <c r="A12" s="333"/>
      <c r="B12" s="332" t="s">
        <v>22</v>
      </c>
      <c r="C12" s="333"/>
      <c r="D12" s="333"/>
      <c r="E12" s="289">
        <v>851</v>
      </c>
      <c r="F12" s="1" t="s">
        <v>23</v>
      </c>
      <c r="G12" s="1" t="s">
        <v>7</v>
      </c>
      <c r="H12" s="1" t="s">
        <v>21</v>
      </c>
      <c r="I12" s="1" t="s">
        <v>24</v>
      </c>
      <c r="J12" s="2">
        <f t="shared" si="0"/>
        <v>946200</v>
      </c>
      <c r="K12" s="2">
        <f t="shared" si="0"/>
        <v>0</v>
      </c>
      <c r="L12" s="2">
        <f t="shared" si="0"/>
        <v>946200</v>
      </c>
      <c r="M12" s="2">
        <f t="shared" si="0"/>
        <v>0</v>
      </c>
      <c r="N12" s="2">
        <f t="shared" si="0"/>
        <v>946200</v>
      </c>
    </row>
    <row r="13" spans="1:14" ht="15" customHeight="1" x14ac:dyDescent="0.25">
      <c r="A13" s="17"/>
      <c r="B13" s="332" t="s">
        <v>25</v>
      </c>
      <c r="C13" s="332"/>
      <c r="D13" s="332"/>
      <c r="E13" s="289">
        <v>851</v>
      </c>
      <c r="F13" s="1" t="s">
        <v>18</v>
      </c>
      <c r="G13" s="1" t="s">
        <v>7</v>
      </c>
      <c r="H13" s="1" t="s">
        <v>21</v>
      </c>
      <c r="I13" s="1" t="s">
        <v>26</v>
      </c>
      <c r="J13" s="2">
        <v>946200</v>
      </c>
      <c r="K13" s="2"/>
      <c r="L13" s="2">
        <f t="shared" ref="L13:L79" si="1">J13+K13</f>
        <v>946200</v>
      </c>
      <c r="M13" s="2"/>
      <c r="N13" s="2">
        <f t="shared" ref="N13:N29" si="2">L13+M13</f>
        <v>946200</v>
      </c>
    </row>
    <row r="14" spans="1:14" ht="26.25" customHeight="1" x14ac:dyDescent="0.25">
      <c r="A14" s="583" t="s">
        <v>27</v>
      </c>
      <c r="B14" s="583"/>
      <c r="C14" s="289"/>
      <c r="D14" s="289"/>
      <c r="E14" s="289">
        <v>851</v>
      </c>
      <c r="F14" s="1" t="s">
        <v>23</v>
      </c>
      <c r="G14" s="1" t="s">
        <v>7</v>
      </c>
      <c r="H14" s="1" t="s">
        <v>560</v>
      </c>
      <c r="I14" s="1"/>
      <c r="J14" s="2">
        <f t="shared" ref="J14:K14" si="3">J15+J17+J19</f>
        <v>16387680</v>
      </c>
      <c r="K14" s="2">
        <f t="shared" si="3"/>
        <v>0</v>
      </c>
      <c r="L14" s="2">
        <f t="shared" si="1"/>
        <v>16387680</v>
      </c>
      <c r="M14" s="2">
        <f t="shared" ref="M14" si="4">M15+M17+M19</f>
        <v>0</v>
      </c>
      <c r="N14" s="2">
        <f t="shared" si="2"/>
        <v>16387680</v>
      </c>
    </row>
    <row r="15" spans="1:14" ht="36" customHeight="1" x14ac:dyDescent="0.25">
      <c r="A15" s="17"/>
      <c r="B15" s="332" t="s">
        <v>22</v>
      </c>
      <c r="C15" s="289"/>
      <c r="D15" s="289"/>
      <c r="E15" s="289">
        <v>851</v>
      </c>
      <c r="F15" s="1" t="s">
        <v>18</v>
      </c>
      <c r="G15" s="1" t="s">
        <v>7</v>
      </c>
      <c r="H15" s="1" t="s">
        <v>560</v>
      </c>
      <c r="I15" s="1" t="s">
        <v>24</v>
      </c>
      <c r="J15" s="2">
        <f t="shared" ref="J15:M15" si="5">J16</f>
        <v>11544100</v>
      </c>
      <c r="K15" s="2">
        <f t="shared" si="5"/>
        <v>0</v>
      </c>
      <c r="L15" s="2">
        <f t="shared" si="1"/>
        <v>11544100</v>
      </c>
      <c r="M15" s="2">
        <f t="shared" si="5"/>
        <v>0</v>
      </c>
      <c r="N15" s="2">
        <f t="shared" si="2"/>
        <v>11544100</v>
      </c>
    </row>
    <row r="16" spans="1:14" ht="14.25" customHeight="1" x14ac:dyDescent="0.25">
      <c r="A16" s="17"/>
      <c r="B16" s="332" t="s">
        <v>25</v>
      </c>
      <c r="C16" s="289"/>
      <c r="D16" s="289"/>
      <c r="E16" s="289">
        <v>851</v>
      </c>
      <c r="F16" s="1" t="s">
        <v>18</v>
      </c>
      <c r="G16" s="1" t="s">
        <v>7</v>
      </c>
      <c r="H16" s="1" t="s">
        <v>560</v>
      </c>
      <c r="I16" s="1" t="s">
        <v>26</v>
      </c>
      <c r="J16" s="2">
        <f>11904900-187900-172900</f>
        <v>11544100</v>
      </c>
      <c r="K16" s="2"/>
      <c r="L16" s="2">
        <f t="shared" si="1"/>
        <v>11544100</v>
      </c>
      <c r="M16" s="2"/>
      <c r="N16" s="2">
        <f t="shared" si="2"/>
        <v>11544100</v>
      </c>
    </row>
    <row r="17" spans="1:14" ht="14.25" customHeight="1" x14ac:dyDescent="0.25">
      <c r="A17" s="17"/>
      <c r="B17" s="333" t="s">
        <v>28</v>
      </c>
      <c r="C17" s="289"/>
      <c r="D17" s="289"/>
      <c r="E17" s="289">
        <v>851</v>
      </c>
      <c r="F17" s="1" t="s">
        <v>18</v>
      </c>
      <c r="G17" s="1" t="s">
        <v>7</v>
      </c>
      <c r="H17" s="1" t="s">
        <v>560</v>
      </c>
      <c r="I17" s="1" t="s">
        <v>29</v>
      </c>
      <c r="J17" s="2">
        <f t="shared" ref="J17:M17" si="6">J18</f>
        <v>3777580</v>
      </c>
      <c r="K17" s="2">
        <f t="shared" si="6"/>
        <v>0</v>
      </c>
      <c r="L17" s="2">
        <f t="shared" si="1"/>
        <v>3777580</v>
      </c>
      <c r="M17" s="2">
        <f t="shared" si="6"/>
        <v>0</v>
      </c>
      <c r="N17" s="2">
        <f t="shared" si="2"/>
        <v>3777580</v>
      </c>
    </row>
    <row r="18" spans="1:14" ht="24.75" customHeight="1" x14ac:dyDescent="0.25">
      <c r="A18" s="17"/>
      <c r="B18" s="333" t="s">
        <v>30</v>
      </c>
      <c r="C18" s="289"/>
      <c r="D18" s="289"/>
      <c r="E18" s="289">
        <v>851</v>
      </c>
      <c r="F18" s="1" t="s">
        <v>18</v>
      </c>
      <c r="G18" s="1" t="s">
        <v>7</v>
      </c>
      <c r="H18" s="1" t="s">
        <v>560</v>
      </c>
      <c r="I18" s="1" t="s">
        <v>31</v>
      </c>
      <c r="J18" s="2">
        <f>3816480-151600+112700</f>
        <v>3777580</v>
      </c>
      <c r="K18" s="2"/>
      <c r="L18" s="2">
        <f t="shared" si="1"/>
        <v>3777580</v>
      </c>
      <c r="M18" s="2"/>
      <c r="N18" s="2">
        <f t="shared" si="2"/>
        <v>3777580</v>
      </c>
    </row>
    <row r="19" spans="1:14" x14ac:dyDescent="0.25">
      <c r="A19" s="17"/>
      <c r="B19" s="333" t="s">
        <v>32</v>
      </c>
      <c r="C19" s="289"/>
      <c r="D19" s="289"/>
      <c r="E19" s="289">
        <v>851</v>
      </c>
      <c r="F19" s="1" t="s">
        <v>18</v>
      </c>
      <c r="G19" s="1" t="s">
        <v>7</v>
      </c>
      <c r="H19" s="1" t="s">
        <v>560</v>
      </c>
      <c r="I19" s="1" t="s">
        <v>33</v>
      </c>
      <c r="J19" s="2">
        <f>J20+J21+J22</f>
        <v>1066000</v>
      </c>
      <c r="K19" s="2">
        <f>K20+K21+K22</f>
        <v>0</v>
      </c>
      <c r="L19" s="2">
        <f t="shared" si="1"/>
        <v>1066000</v>
      </c>
      <c r="M19" s="2">
        <f>M20+M21+M22</f>
        <v>0</v>
      </c>
      <c r="N19" s="2">
        <f t="shared" si="2"/>
        <v>1066000</v>
      </c>
    </row>
    <row r="20" spans="1:14" ht="14.25" customHeight="1" x14ac:dyDescent="0.25">
      <c r="A20" s="17"/>
      <c r="B20" s="333" t="s">
        <v>34</v>
      </c>
      <c r="C20" s="289"/>
      <c r="D20" s="289"/>
      <c r="E20" s="289">
        <v>851</v>
      </c>
      <c r="F20" s="1" t="s">
        <v>18</v>
      </c>
      <c r="G20" s="1" t="s">
        <v>7</v>
      </c>
      <c r="H20" s="1" t="s">
        <v>560</v>
      </c>
      <c r="I20" s="1" t="s">
        <v>35</v>
      </c>
      <c r="J20" s="2">
        <v>945200</v>
      </c>
      <c r="K20" s="2"/>
      <c r="L20" s="2">
        <f t="shared" si="1"/>
        <v>945200</v>
      </c>
      <c r="M20" s="2"/>
      <c r="N20" s="2">
        <f t="shared" si="2"/>
        <v>945200</v>
      </c>
    </row>
    <row r="21" spans="1:14" ht="14.25" customHeight="1" x14ac:dyDescent="0.25">
      <c r="A21" s="17"/>
      <c r="B21" s="332" t="s">
        <v>596</v>
      </c>
      <c r="C21" s="289"/>
      <c r="D21" s="289"/>
      <c r="E21" s="289">
        <v>851</v>
      </c>
      <c r="F21" s="1" t="s">
        <v>23</v>
      </c>
      <c r="G21" s="1" t="s">
        <v>7</v>
      </c>
      <c r="H21" s="1" t="s">
        <v>560</v>
      </c>
      <c r="I21" s="1" t="s">
        <v>36</v>
      </c>
      <c r="J21" s="2">
        <f>71120-320</f>
        <v>70800</v>
      </c>
      <c r="K21" s="2"/>
      <c r="L21" s="2">
        <f t="shared" si="1"/>
        <v>70800</v>
      </c>
      <c r="M21" s="2"/>
      <c r="N21" s="2">
        <f t="shared" si="2"/>
        <v>70800</v>
      </c>
    </row>
    <row r="22" spans="1:14" ht="14.25" customHeight="1" x14ac:dyDescent="0.25">
      <c r="A22" s="17"/>
      <c r="B22" s="333" t="s">
        <v>595</v>
      </c>
      <c r="C22" s="289"/>
      <c r="D22" s="289"/>
      <c r="E22" s="289">
        <v>851</v>
      </c>
      <c r="F22" s="1" t="s">
        <v>23</v>
      </c>
      <c r="G22" s="1" t="s">
        <v>7</v>
      </c>
      <c r="H22" s="1" t="s">
        <v>560</v>
      </c>
      <c r="I22" s="1" t="s">
        <v>594</v>
      </c>
      <c r="J22" s="2">
        <v>50000</v>
      </c>
      <c r="K22" s="2"/>
      <c r="L22" s="2">
        <f t="shared" si="1"/>
        <v>50000</v>
      </c>
      <c r="M22" s="2"/>
      <c r="N22" s="2">
        <f t="shared" si="2"/>
        <v>50000</v>
      </c>
    </row>
    <row r="23" spans="1:14" ht="38.25" customHeight="1" x14ac:dyDescent="0.25">
      <c r="A23" s="583" t="s">
        <v>612</v>
      </c>
      <c r="B23" s="583"/>
      <c r="C23" s="333"/>
      <c r="D23" s="333"/>
      <c r="E23" s="289">
        <v>851</v>
      </c>
      <c r="F23" s="1" t="s">
        <v>18</v>
      </c>
      <c r="G23" s="1" t="s">
        <v>7</v>
      </c>
      <c r="H23" s="1" t="s">
        <v>615</v>
      </c>
      <c r="I23" s="1"/>
      <c r="J23" s="2">
        <f t="shared" ref="J23:M24" si="7">J24</f>
        <v>2500</v>
      </c>
      <c r="K23" s="2">
        <f t="shared" si="7"/>
        <v>0</v>
      </c>
      <c r="L23" s="2">
        <f t="shared" si="1"/>
        <v>2500</v>
      </c>
      <c r="M23" s="2">
        <f t="shared" si="7"/>
        <v>0</v>
      </c>
      <c r="N23" s="2">
        <f t="shared" si="2"/>
        <v>2500</v>
      </c>
    </row>
    <row r="24" spans="1:14" ht="15.75" customHeight="1" x14ac:dyDescent="0.25">
      <c r="A24" s="17"/>
      <c r="B24" s="333" t="s">
        <v>28</v>
      </c>
      <c r="C24" s="332"/>
      <c r="D24" s="332"/>
      <c r="E24" s="289">
        <v>851</v>
      </c>
      <c r="F24" s="1" t="s">
        <v>18</v>
      </c>
      <c r="G24" s="1" t="s">
        <v>7</v>
      </c>
      <c r="H24" s="1" t="s">
        <v>615</v>
      </c>
      <c r="I24" s="1" t="s">
        <v>29</v>
      </c>
      <c r="J24" s="2">
        <f t="shared" si="7"/>
        <v>2500</v>
      </c>
      <c r="K24" s="2">
        <f t="shared" si="7"/>
        <v>0</v>
      </c>
      <c r="L24" s="2">
        <f t="shared" si="1"/>
        <v>2500</v>
      </c>
      <c r="M24" s="2">
        <f t="shared" si="7"/>
        <v>0</v>
      </c>
      <c r="N24" s="2">
        <f t="shared" si="2"/>
        <v>2500</v>
      </c>
    </row>
    <row r="25" spans="1:14" ht="23.25" customHeight="1" x14ac:dyDescent="0.25">
      <c r="A25" s="17"/>
      <c r="B25" s="333" t="s">
        <v>30</v>
      </c>
      <c r="C25" s="333"/>
      <c r="D25" s="333"/>
      <c r="E25" s="289">
        <v>851</v>
      </c>
      <c r="F25" s="1" t="s">
        <v>18</v>
      </c>
      <c r="G25" s="1" t="s">
        <v>7</v>
      </c>
      <c r="H25" s="1" t="s">
        <v>615</v>
      </c>
      <c r="I25" s="1" t="s">
        <v>31</v>
      </c>
      <c r="J25" s="2">
        <f>2500</f>
        <v>2500</v>
      </c>
      <c r="K25" s="2"/>
      <c r="L25" s="2">
        <f t="shared" si="1"/>
        <v>2500</v>
      </c>
      <c r="M25" s="2"/>
      <c r="N25" s="2">
        <f t="shared" si="2"/>
        <v>2500</v>
      </c>
    </row>
    <row r="26" spans="1:14" hidden="1" x14ac:dyDescent="0.25">
      <c r="A26" s="589" t="s">
        <v>654</v>
      </c>
      <c r="B26" s="589"/>
      <c r="C26" s="333"/>
      <c r="D26" s="333"/>
      <c r="E26" s="18">
        <v>851</v>
      </c>
      <c r="F26" s="12" t="s">
        <v>18</v>
      </c>
      <c r="G26" s="12" t="s">
        <v>64</v>
      </c>
      <c r="H26" s="12"/>
      <c r="I26" s="12"/>
      <c r="J26" s="14">
        <f>J27</f>
        <v>0</v>
      </c>
      <c r="K26" s="14">
        <f t="shared" ref="K26:M28" si="8">K27</f>
        <v>0</v>
      </c>
      <c r="L26" s="2">
        <f t="shared" si="1"/>
        <v>0</v>
      </c>
      <c r="M26" s="14">
        <f t="shared" si="8"/>
        <v>0</v>
      </c>
      <c r="N26" s="2">
        <f t="shared" si="2"/>
        <v>0</v>
      </c>
    </row>
    <row r="27" spans="1:14" ht="60" hidden="1" customHeight="1" x14ac:dyDescent="0.25">
      <c r="A27" s="583" t="s">
        <v>655</v>
      </c>
      <c r="B27" s="583"/>
      <c r="C27" s="333"/>
      <c r="D27" s="333"/>
      <c r="E27" s="289">
        <v>851</v>
      </c>
      <c r="F27" s="1" t="s">
        <v>18</v>
      </c>
      <c r="G27" s="1" t="s">
        <v>64</v>
      </c>
      <c r="H27" s="1" t="s">
        <v>656</v>
      </c>
      <c r="I27" s="1"/>
      <c r="J27" s="2">
        <f>J28</f>
        <v>0</v>
      </c>
      <c r="K27" s="2">
        <f t="shared" si="8"/>
        <v>0</v>
      </c>
      <c r="L27" s="2">
        <f t="shared" si="1"/>
        <v>0</v>
      </c>
      <c r="M27" s="2">
        <f t="shared" si="8"/>
        <v>0</v>
      </c>
      <c r="N27" s="2">
        <f t="shared" si="2"/>
        <v>0</v>
      </c>
    </row>
    <row r="28" spans="1:14" hidden="1" x14ac:dyDescent="0.25">
      <c r="A28" s="17"/>
      <c r="B28" s="333" t="s">
        <v>28</v>
      </c>
      <c r="C28" s="332"/>
      <c r="D28" s="332"/>
      <c r="E28" s="289">
        <v>851</v>
      </c>
      <c r="F28" s="1" t="s">
        <v>18</v>
      </c>
      <c r="G28" s="1" t="s">
        <v>64</v>
      </c>
      <c r="H28" s="1" t="s">
        <v>656</v>
      </c>
      <c r="I28" s="1" t="s">
        <v>29</v>
      </c>
      <c r="J28" s="2">
        <f>J29</f>
        <v>0</v>
      </c>
      <c r="K28" s="2">
        <f t="shared" si="8"/>
        <v>0</v>
      </c>
      <c r="L28" s="2">
        <f t="shared" si="1"/>
        <v>0</v>
      </c>
      <c r="M28" s="2">
        <f t="shared" si="8"/>
        <v>0</v>
      </c>
      <c r="N28" s="2">
        <f t="shared" si="2"/>
        <v>0</v>
      </c>
    </row>
    <row r="29" spans="1:14" ht="24" hidden="1" x14ac:dyDescent="0.25">
      <c r="A29" s="17"/>
      <c r="B29" s="333" t="s">
        <v>30</v>
      </c>
      <c r="C29" s="333"/>
      <c r="D29" s="333"/>
      <c r="E29" s="289">
        <v>851</v>
      </c>
      <c r="F29" s="1" t="s">
        <v>18</v>
      </c>
      <c r="G29" s="1" t="s">
        <v>64</v>
      </c>
      <c r="H29" s="1" t="s">
        <v>656</v>
      </c>
      <c r="I29" s="1" t="s">
        <v>31</v>
      </c>
      <c r="J29" s="2">
        <v>0</v>
      </c>
      <c r="K29" s="2">
        <v>0</v>
      </c>
      <c r="L29" s="2">
        <f t="shared" si="1"/>
        <v>0</v>
      </c>
      <c r="M29" s="2">
        <v>0</v>
      </c>
      <c r="N29" s="2">
        <f t="shared" si="2"/>
        <v>0</v>
      </c>
    </row>
    <row r="30" spans="1:14" s="15" customFormat="1" ht="13.5" customHeight="1" x14ac:dyDescent="0.25">
      <c r="A30" s="589" t="s">
        <v>38</v>
      </c>
      <c r="B30" s="589"/>
      <c r="C30" s="378"/>
      <c r="D30" s="378"/>
      <c r="E30" s="289">
        <v>851</v>
      </c>
      <c r="F30" s="12" t="s">
        <v>18</v>
      </c>
      <c r="G30" s="12" t="s">
        <v>39</v>
      </c>
      <c r="H30" s="12"/>
      <c r="I30" s="12"/>
      <c r="J30" s="14">
        <f>J31</f>
        <v>200000</v>
      </c>
      <c r="K30" s="14">
        <f>K31</f>
        <v>0</v>
      </c>
      <c r="L30" s="14">
        <f>L31</f>
        <v>200000</v>
      </c>
      <c r="M30" s="14">
        <f>M31</f>
        <v>0</v>
      </c>
      <c r="N30" s="14">
        <f>N31</f>
        <v>200000</v>
      </c>
    </row>
    <row r="31" spans="1:14" ht="13.5" customHeight="1" x14ac:dyDescent="0.25">
      <c r="A31" s="583" t="s">
        <v>41</v>
      </c>
      <c r="B31" s="583"/>
      <c r="C31" s="376"/>
      <c r="D31" s="376"/>
      <c r="E31" s="289">
        <v>851</v>
      </c>
      <c r="F31" s="1" t="s">
        <v>18</v>
      </c>
      <c r="G31" s="1" t="s">
        <v>39</v>
      </c>
      <c r="H31" s="1" t="s">
        <v>40</v>
      </c>
      <c r="I31" s="1"/>
      <c r="J31" s="2">
        <f t="shared" ref="J31:M32" si="9">J32</f>
        <v>200000</v>
      </c>
      <c r="K31" s="2">
        <f t="shared" si="9"/>
        <v>0</v>
      </c>
      <c r="L31" s="2">
        <f t="shared" si="1"/>
        <v>200000</v>
      </c>
      <c r="M31" s="2">
        <f t="shared" si="9"/>
        <v>0</v>
      </c>
      <c r="N31" s="2">
        <f t="shared" ref="N31:N33" si="10">L31+M31</f>
        <v>200000</v>
      </c>
    </row>
    <row r="32" spans="1:14" ht="13.5" customHeight="1" x14ac:dyDescent="0.25">
      <c r="A32" s="17"/>
      <c r="B32" s="376" t="s">
        <v>32</v>
      </c>
      <c r="C32" s="376"/>
      <c r="D32" s="376"/>
      <c r="E32" s="289">
        <v>851</v>
      </c>
      <c r="F32" s="1" t="s">
        <v>18</v>
      </c>
      <c r="G32" s="1" t="s">
        <v>39</v>
      </c>
      <c r="H32" s="1" t="s">
        <v>40</v>
      </c>
      <c r="I32" s="1" t="s">
        <v>33</v>
      </c>
      <c r="J32" s="2">
        <f t="shared" si="9"/>
        <v>200000</v>
      </c>
      <c r="K32" s="2">
        <f t="shared" si="9"/>
        <v>0</v>
      </c>
      <c r="L32" s="2">
        <f t="shared" si="1"/>
        <v>200000</v>
      </c>
      <c r="M32" s="2">
        <f t="shared" si="9"/>
        <v>0</v>
      </c>
      <c r="N32" s="2">
        <f t="shared" si="10"/>
        <v>200000</v>
      </c>
    </row>
    <row r="33" spans="1:14" ht="13.5" customHeight="1" x14ac:dyDescent="0.25">
      <c r="A33" s="17"/>
      <c r="B33" s="375" t="s">
        <v>42</v>
      </c>
      <c r="C33" s="375"/>
      <c r="D33" s="375"/>
      <c r="E33" s="289">
        <v>851</v>
      </c>
      <c r="F33" s="1" t="s">
        <v>18</v>
      </c>
      <c r="G33" s="1" t="s">
        <v>39</v>
      </c>
      <c r="H33" s="1" t="s">
        <v>40</v>
      </c>
      <c r="I33" s="1" t="s">
        <v>43</v>
      </c>
      <c r="J33" s="2">
        <v>200000</v>
      </c>
      <c r="K33" s="2"/>
      <c r="L33" s="2">
        <f t="shared" si="1"/>
        <v>200000</v>
      </c>
      <c r="M33" s="2"/>
      <c r="N33" s="2">
        <f t="shared" si="10"/>
        <v>200000</v>
      </c>
    </row>
    <row r="34" spans="1:14" s="15" customFormat="1" ht="13.5" customHeight="1" x14ac:dyDescent="0.25">
      <c r="A34" s="589" t="s">
        <v>44</v>
      </c>
      <c r="B34" s="589"/>
      <c r="C34" s="378"/>
      <c r="D34" s="378"/>
      <c r="E34" s="289">
        <v>851</v>
      </c>
      <c r="F34" s="12" t="s">
        <v>18</v>
      </c>
      <c r="G34" s="12" t="s">
        <v>45</v>
      </c>
      <c r="H34" s="12"/>
      <c r="I34" s="12"/>
      <c r="J34" s="14">
        <f>J35+J40+J43+J46+J51+J54</f>
        <v>6237700</v>
      </c>
      <c r="K34" s="14">
        <f>K35+K40+K43+K46+K51+K54</f>
        <v>803088</v>
      </c>
      <c r="L34" s="14">
        <f>L35+L40+L43+L46+L51+L54</f>
        <v>7040788</v>
      </c>
      <c r="M34" s="14">
        <f>M35+M40+M43+M46+M51+M54</f>
        <v>-23856</v>
      </c>
      <c r="N34" s="14">
        <f>N35+N40+N43+N46+N51+N54</f>
        <v>7016932</v>
      </c>
    </row>
    <row r="35" spans="1:14" ht="52.5" customHeight="1" x14ac:dyDescent="0.25">
      <c r="A35" s="583" t="s">
        <v>46</v>
      </c>
      <c r="B35" s="583"/>
      <c r="C35" s="289"/>
      <c r="D35" s="289"/>
      <c r="E35" s="289">
        <v>851</v>
      </c>
      <c r="F35" s="1" t="s">
        <v>18</v>
      </c>
      <c r="G35" s="1" t="s">
        <v>45</v>
      </c>
      <c r="H35" s="1" t="s">
        <v>47</v>
      </c>
      <c r="I35" s="1"/>
      <c r="J35" s="2">
        <f t="shared" ref="J35:K35" si="11">J36+J38</f>
        <v>340700</v>
      </c>
      <c r="K35" s="2">
        <f t="shared" si="11"/>
        <v>0</v>
      </c>
      <c r="L35" s="2">
        <f t="shared" si="1"/>
        <v>340700</v>
      </c>
      <c r="M35" s="396">
        <f t="shared" ref="M35" si="12">M36+M38</f>
        <v>-23856</v>
      </c>
      <c r="N35" s="2">
        <f t="shared" ref="N35:N56" si="13">L35+M35</f>
        <v>316844</v>
      </c>
    </row>
    <row r="36" spans="1:14" ht="36.75" customHeight="1" x14ac:dyDescent="0.25">
      <c r="A36" s="17"/>
      <c r="B36" s="332" t="s">
        <v>22</v>
      </c>
      <c r="C36" s="289"/>
      <c r="D36" s="289"/>
      <c r="E36" s="289">
        <v>851</v>
      </c>
      <c r="F36" s="1" t="s">
        <v>18</v>
      </c>
      <c r="G36" s="1" t="s">
        <v>45</v>
      </c>
      <c r="H36" s="1" t="s">
        <v>47</v>
      </c>
      <c r="I36" s="1" t="s">
        <v>24</v>
      </c>
      <c r="J36" s="2">
        <f t="shared" ref="J36:M36" si="14">J37</f>
        <v>216840</v>
      </c>
      <c r="K36" s="2">
        <f t="shared" si="14"/>
        <v>0</v>
      </c>
      <c r="L36" s="2">
        <f t="shared" si="1"/>
        <v>216840</v>
      </c>
      <c r="M36" s="396">
        <f t="shared" si="14"/>
        <v>0</v>
      </c>
      <c r="N36" s="2">
        <f t="shared" si="13"/>
        <v>216840</v>
      </c>
    </row>
    <row r="37" spans="1:14" ht="13.5" customHeight="1" x14ac:dyDescent="0.25">
      <c r="A37" s="17"/>
      <c r="B37" s="332" t="s">
        <v>25</v>
      </c>
      <c r="C37" s="289"/>
      <c r="D37" s="289"/>
      <c r="E37" s="289">
        <v>851</v>
      </c>
      <c r="F37" s="1" t="s">
        <v>18</v>
      </c>
      <c r="G37" s="1" t="s">
        <v>45</v>
      </c>
      <c r="H37" s="1" t="s">
        <v>47</v>
      </c>
      <c r="I37" s="1" t="s">
        <v>26</v>
      </c>
      <c r="J37" s="2">
        <v>216840</v>
      </c>
      <c r="K37" s="2"/>
      <c r="L37" s="2">
        <f t="shared" si="1"/>
        <v>216840</v>
      </c>
      <c r="M37" s="396"/>
      <c r="N37" s="2">
        <f t="shared" si="13"/>
        <v>216840</v>
      </c>
    </row>
    <row r="38" spans="1:14" ht="14.25" customHeight="1" x14ac:dyDescent="0.25">
      <c r="A38" s="17"/>
      <c r="B38" s="333" t="s">
        <v>28</v>
      </c>
      <c r="C38" s="289"/>
      <c r="D38" s="289"/>
      <c r="E38" s="289">
        <v>851</v>
      </c>
      <c r="F38" s="1" t="s">
        <v>18</v>
      </c>
      <c r="G38" s="1" t="s">
        <v>45</v>
      </c>
      <c r="H38" s="1" t="s">
        <v>47</v>
      </c>
      <c r="I38" s="1" t="s">
        <v>29</v>
      </c>
      <c r="J38" s="2">
        <f>J39</f>
        <v>123860</v>
      </c>
      <c r="K38" s="2">
        <f>K39</f>
        <v>0</v>
      </c>
      <c r="L38" s="2">
        <f t="shared" si="1"/>
        <v>123860</v>
      </c>
      <c r="M38" s="396">
        <f>M39</f>
        <v>-23856</v>
      </c>
      <c r="N38" s="2">
        <f t="shared" si="13"/>
        <v>100004</v>
      </c>
    </row>
    <row r="39" spans="1:14" ht="25.5" customHeight="1" x14ac:dyDescent="0.25">
      <c r="A39" s="17"/>
      <c r="B39" s="333" t="s">
        <v>30</v>
      </c>
      <c r="C39" s="289"/>
      <c r="D39" s="289"/>
      <c r="E39" s="289">
        <v>851</v>
      </c>
      <c r="F39" s="1" t="s">
        <v>18</v>
      </c>
      <c r="G39" s="1" t="s">
        <v>45</v>
      </c>
      <c r="H39" s="1" t="s">
        <v>47</v>
      </c>
      <c r="I39" s="1" t="s">
        <v>31</v>
      </c>
      <c r="J39" s="2">
        <f>123860</f>
        <v>123860</v>
      </c>
      <c r="K39" s="2"/>
      <c r="L39" s="2">
        <f t="shared" si="1"/>
        <v>123860</v>
      </c>
      <c r="M39" s="396">
        <f>-23849-7</f>
        <v>-23856</v>
      </c>
      <c r="N39" s="2">
        <f t="shared" si="13"/>
        <v>100004</v>
      </c>
    </row>
    <row r="40" spans="1:14" ht="26.25" customHeight="1" x14ac:dyDescent="0.25">
      <c r="A40" s="583" t="s">
        <v>52</v>
      </c>
      <c r="B40" s="583"/>
      <c r="C40" s="333"/>
      <c r="D40" s="333"/>
      <c r="E40" s="289">
        <v>851</v>
      </c>
      <c r="F40" s="1" t="s">
        <v>23</v>
      </c>
      <c r="G40" s="20" t="s">
        <v>45</v>
      </c>
      <c r="H40" s="1" t="s">
        <v>53</v>
      </c>
      <c r="I40" s="1"/>
      <c r="J40" s="2">
        <f t="shared" ref="J40:M41" si="15">J41</f>
        <v>450000</v>
      </c>
      <c r="K40" s="2">
        <f t="shared" si="15"/>
        <v>0</v>
      </c>
      <c r="L40" s="2">
        <f t="shared" si="1"/>
        <v>450000</v>
      </c>
      <c r="M40" s="2">
        <f t="shared" si="15"/>
        <v>0</v>
      </c>
      <c r="N40" s="2">
        <f t="shared" si="13"/>
        <v>450000</v>
      </c>
    </row>
    <row r="41" spans="1:14" ht="15" customHeight="1" x14ac:dyDescent="0.25">
      <c r="A41" s="17"/>
      <c r="B41" s="333" t="s">
        <v>28</v>
      </c>
      <c r="C41" s="332"/>
      <c r="D41" s="332"/>
      <c r="E41" s="289">
        <v>851</v>
      </c>
      <c r="F41" s="1" t="s">
        <v>18</v>
      </c>
      <c r="G41" s="1" t="s">
        <v>45</v>
      </c>
      <c r="H41" s="1" t="s">
        <v>53</v>
      </c>
      <c r="I41" s="1" t="s">
        <v>29</v>
      </c>
      <c r="J41" s="2">
        <f t="shared" si="15"/>
        <v>450000</v>
      </c>
      <c r="K41" s="2">
        <f t="shared" si="15"/>
        <v>0</v>
      </c>
      <c r="L41" s="2">
        <f t="shared" si="1"/>
        <v>450000</v>
      </c>
      <c r="M41" s="2">
        <f t="shared" si="15"/>
        <v>0</v>
      </c>
      <c r="N41" s="2">
        <f t="shared" si="13"/>
        <v>450000</v>
      </c>
    </row>
    <row r="42" spans="1:14" ht="24.75" customHeight="1" x14ac:dyDescent="0.25">
      <c r="A42" s="17"/>
      <c r="B42" s="333" t="s">
        <v>30</v>
      </c>
      <c r="C42" s="333"/>
      <c r="D42" s="333"/>
      <c r="E42" s="289">
        <v>851</v>
      </c>
      <c r="F42" s="1" t="s">
        <v>18</v>
      </c>
      <c r="G42" s="1" t="s">
        <v>45</v>
      </c>
      <c r="H42" s="1" t="s">
        <v>53</v>
      </c>
      <c r="I42" s="1" t="s">
        <v>31</v>
      </c>
      <c r="J42" s="2">
        <v>450000</v>
      </c>
      <c r="K42" s="2"/>
      <c r="L42" s="2">
        <f t="shared" si="1"/>
        <v>450000</v>
      </c>
      <c r="M42" s="2"/>
      <c r="N42" s="2">
        <f t="shared" si="13"/>
        <v>450000</v>
      </c>
    </row>
    <row r="43" spans="1:14" ht="16.5" customHeight="1" x14ac:dyDescent="0.25">
      <c r="A43" s="583" t="s">
        <v>54</v>
      </c>
      <c r="B43" s="583"/>
      <c r="C43" s="337"/>
      <c r="D43" s="337"/>
      <c r="E43" s="289">
        <v>851</v>
      </c>
      <c r="F43" s="1" t="s">
        <v>18</v>
      </c>
      <c r="G43" s="1" t="s">
        <v>45</v>
      </c>
      <c r="H43" s="1" t="s">
        <v>55</v>
      </c>
      <c r="I43" s="1"/>
      <c r="J43" s="2">
        <f>J44</f>
        <v>1575000</v>
      </c>
      <c r="K43" s="2">
        <f t="shared" ref="K43:M43" si="16">K44</f>
        <v>0</v>
      </c>
      <c r="L43" s="2">
        <f t="shared" si="1"/>
        <v>1575000</v>
      </c>
      <c r="M43" s="2">
        <f t="shared" si="16"/>
        <v>0</v>
      </c>
      <c r="N43" s="2">
        <f t="shared" si="13"/>
        <v>1575000</v>
      </c>
    </row>
    <row r="44" spans="1:14" ht="15" customHeight="1" x14ac:dyDescent="0.25">
      <c r="A44" s="17"/>
      <c r="B44" s="333" t="s">
        <v>28</v>
      </c>
      <c r="C44" s="332"/>
      <c r="D44" s="332"/>
      <c r="E44" s="289">
        <v>851</v>
      </c>
      <c r="F44" s="1" t="s">
        <v>18</v>
      </c>
      <c r="G44" s="1" t="s">
        <v>45</v>
      </c>
      <c r="H44" s="1" t="s">
        <v>55</v>
      </c>
      <c r="I44" s="1" t="s">
        <v>29</v>
      </c>
      <c r="J44" s="2">
        <f t="shared" ref="J44:M44" si="17">J45</f>
        <v>1575000</v>
      </c>
      <c r="K44" s="2">
        <f t="shared" si="17"/>
        <v>0</v>
      </c>
      <c r="L44" s="2">
        <f t="shared" si="1"/>
        <v>1575000</v>
      </c>
      <c r="M44" s="2">
        <f t="shared" si="17"/>
        <v>0</v>
      </c>
      <c r="N44" s="2">
        <f t="shared" si="13"/>
        <v>1575000</v>
      </c>
    </row>
    <row r="45" spans="1:14" ht="23.25" customHeight="1" x14ac:dyDescent="0.25">
      <c r="A45" s="17"/>
      <c r="B45" s="333" t="s">
        <v>30</v>
      </c>
      <c r="C45" s="333"/>
      <c r="D45" s="333"/>
      <c r="E45" s="289">
        <v>851</v>
      </c>
      <c r="F45" s="1" t="s">
        <v>18</v>
      </c>
      <c r="G45" s="1" t="s">
        <v>45</v>
      </c>
      <c r="H45" s="1" t="s">
        <v>55</v>
      </c>
      <c r="I45" s="1" t="s">
        <v>31</v>
      </c>
      <c r="J45" s="2">
        <v>1575000</v>
      </c>
      <c r="K45" s="2"/>
      <c r="L45" s="2">
        <f t="shared" si="1"/>
        <v>1575000</v>
      </c>
      <c r="M45" s="2"/>
      <c r="N45" s="2">
        <f t="shared" si="13"/>
        <v>1575000</v>
      </c>
    </row>
    <row r="46" spans="1:14" s="221" customFormat="1" ht="24" customHeight="1" x14ac:dyDescent="0.2">
      <c r="A46" s="577" t="s">
        <v>570</v>
      </c>
      <c r="B46" s="578"/>
      <c r="C46" s="220"/>
      <c r="D46" s="220"/>
      <c r="E46" s="289">
        <v>851</v>
      </c>
      <c r="F46" s="20" t="s">
        <v>18</v>
      </c>
      <c r="G46" s="20" t="s">
        <v>45</v>
      </c>
      <c r="H46" s="20" t="s">
        <v>571</v>
      </c>
      <c r="I46" s="20"/>
      <c r="J46" s="24">
        <f>J49+J47</f>
        <v>1572000</v>
      </c>
      <c r="K46" s="24">
        <f t="shared" ref="K46:M46" si="18">K49+K47</f>
        <v>763089</v>
      </c>
      <c r="L46" s="2">
        <f t="shared" si="1"/>
        <v>2335089</v>
      </c>
      <c r="M46" s="24">
        <f t="shared" si="18"/>
        <v>0</v>
      </c>
      <c r="N46" s="2">
        <f t="shared" si="13"/>
        <v>2335089</v>
      </c>
    </row>
    <row r="47" spans="1:14" ht="15" customHeight="1" x14ac:dyDescent="0.25">
      <c r="A47" s="17"/>
      <c r="B47" s="333" t="s">
        <v>28</v>
      </c>
      <c r="C47" s="332"/>
      <c r="D47" s="332"/>
      <c r="E47" s="289">
        <v>851</v>
      </c>
      <c r="F47" s="1" t="s">
        <v>18</v>
      </c>
      <c r="G47" s="1" t="s">
        <v>45</v>
      </c>
      <c r="H47" s="20" t="s">
        <v>571</v>
      </c>
      <c r="I47" s="1" t="s">
        <v>29</v>
      </c>
      <c r="J47" s="2">
        <f t="shared" ref="J47:M47" si="19">J48</f>
        <v>172000</v>
      </c>
      <c r="K47" s="2">
        <f t="shared" si="19"/>
        <v>0</v>
      </c>
      <c r="L47" s="2">
        <f t="shared" si="1"/>
        <v>172000</v>
      </c>
      <c r="M47" s="2">
        <f t="shared" si="19"/>
        <v>0</v>
      </c>
      <c r="N47" s="2">
        <f t="shared" si="13"/>
        <v>172000</v>
      </c>
    </row>
    <row r="48" spans="1:14" ht="25.5" customHeight="1" x14ac:dyDescent="0.25">
      <c r="A48" s="17"/>
      <c r="B48" s="333" t="s">
        <v>30</v>
      </c>
      <c r="C48" s="333"/>
      <c r="D48" s="333"/>
      <c r="E48" s="289">
        <v>851</v>
      </c>
      <c r="F48" s="1" t="s">
        <v>18</v>
      </c>
      <c r="G48" s="1" t="s">
        <v>45</v>
      </c>
      <c r="H48" s="20" t="s">
        <v>571</v>
      </c>
      <c r="I48" s="1" t="s">
        <v>31</v>
      </c>
      <c r="J48" s="2">
        <v>172000</v>
      </c>
      <c r="K48" s="2"/>
      <c r="L48" s="2">
        <f t="shared" si="1"/>
        <v>172000</v>
      </c>
      <c r="M48" s="2"/>
      <c r="N48" s="2">
        <f t="shared" si="13"/>
        <v>172000</v>
      </c>
    </row>
    <row r="49" spans="1:14" s="221" customFormat="1" ht="15.75" customHeight="1" x14ac:dyDescent="0.2">
      <c r="A49" s="332"/>
      <c r="B49" s="333" t="s">
        <v>597</v>
      </c>
      <c r="C49" s="220"/>
      <c r="D49" s="220"/>
      <c r="E49" s="289">
        <v>851</v>
      </c>
      <c r="F49" s="20" t="s">
        <v>18</v>
      </c>
      <c r="G49" s="20" t="s">
        <v>45</v>
      </c>
      <c r="H49" s="20" t="s">
        <v>571</v>
      </c>
      <c r="I49" s="20" t="s">
        <v>77</v>
      </c>
      <c r="J49" s="24">
        <f t="shared" ref="J49:M49" si="20">J50</f>
        <v>1400000</v>
      </c>
      <c r="K49" s="24">
        <f t="shared" si="20"/>
        <v>763089</v>
      </c>
      <c r="L49" s="2">
        <f t="shared" si="1"/>
        <v>2163089</v>
      </c>
      <c r="M49" s="24">
        <f t="shared" si="20"/>
        <v>0</v>
      </c>
      <c r="N49" s="2">
        <f t="shared" si="13"/>
        <v>2163089</v>
      </c>
    </row>
    <row r="50" spans="1:14" s="221" customFormat="1" ht="27" customHeight="1" x14ac:dyDescent="0.2">
      <c r="A50" s="332"/>
      <c r="B50" s="333" t="s">
        <v>78</v>
      </c>
      <c r="C50" s="220"/>
      <c r="D50" s="220"/>
      <c r="E50" s="289">
        <v>851</v>
      </c>
      <c r="F50" s="20" t="s">
        <v>18</v>
      </c>
      <c r="G50" s="20" t="s">
        <v>45</v>
      </c>
      <c r="H50" s="20" t="s">
        <v>571</v>
      </c>
      <c r="I50" s="20" t="s">
        <v>79</v>
      </c>
      <c r="J50" s="24">
        <v>1400000</v>
      </c>
      <c r="K50" s="24">
        <f>12865+750224</f>
        <v>763089</v>
      </c>
      <c r="L50" s="2">
        <f t="shared" si="1"/>
        <v>2163089</v>
      </c>
      <c r="M50" s="24"/>
      <c r="N50" s="2">
        <f t="shared" si="13"/>
        <v>2163089</v>
      </c>
    </row>
    <row r="51" spans="1:14" ht="24.75" customHeight="1" x14ac:dyDescent="0.25">
      <c r="A51" s="583" t="s">
        <v>48</v>
      </c>
      <c r="B51" s="583"/>
      <c r="C51" s="333"/>
      <c r="D51" s="333"/>
      <c r="E51" s="289">
        <v>851</v>
      </c>
      <c r="F51" s="1" t="s">
        <v>18</v>
      </c>
      <c r="G51" s="1" t="s">
        <v>45</v>
      </c>
      <c r="H51" s="74" t="s">
        <v>49</v>
      </c>
      <c r="I51" s="1"/>
      <c r="J51" s="2">
        <f t="shared" ref="J51:M52" si="21">J52</f>
        <v>2000000</v>
      </c>
      <c r="K51" s="2">
        <f t="shared" si="21"/>
        <v>39999</v>
      </c>
      <c r="L51" s="2">
        <f t="shared" si="1"/>
        <v>2039999</v>
      </c>
      <c r="M51" s="2">
        <f t="shared" si="21"/>
        <v>0</v>
      </c>
      <c r="N51" s="2">
        <f t="shared" si="13"/>
        <v>2039999</v>
      </c>
    </row>
    <row r="52" spans="1:14" ht="15" customHeight="1" x14ac:dyDescent="0.25">
      <c r="A52" s="17"/>
      <c r="B52" s="333" t="s">
        <v>28</v>
      </c>
      <c r="C52" s="332"/>
      <c r="D52" s="332"/>
      <c r="E52" s="289">
        <v>851</v>
      </c>
      <c r="F52" s="1" t="s">
        <v>18</v>
      </c>
      <c r="G52" s="20" t="s">
        <v>45</v>
      </c>
      <c r="H52" s="74" t="s">
        <v>49</v>
      </c>
      <c r="I52" s="1" t="s">
        <v>29</v>
      </c>
      <c r="J52" s="2">
        <f t="shared" si="21"/>
        <v>2000000</v>
      </c>
      <c r="K52" s="2">
        <f t="shared" si="21"/>
        <v>39999</v>
      </c>
      <c r="L52" s="2">
        <f t="shared" si="1"/>
        <v>2039999</v>
      </c>
      <c r="M52" s="2">
        <f t="shared" si="21"/>
        <v>0</v>
      </c>
      <c r="N52" s="2">
        <f t="shared" si="13"/>
        <v>2039999</v>
      </c>
    </row>
    <row r="53" spans="1:14" ht="27.75" customHeight="1" x14ac:dyDescent="0.25">
      <c r="A53" s="17"/>
      <c r="B53" s="333" t="s">
        <v>30</v>
      </c>
      <c r="C53" s="333"/>
      <c r="D53" s="333"/>
      <c r="E53" s="289">
        <v>851</v>
      </c>
      <c r="F53" s="1" t="s">
        <v>18</v>
      </c>
      <c r="G53" s="20" t="s">
        <v>45</v>
      </c>
      <c r="H53" s="74" t="s">
        <v>49</v>
      </c>
      <c r="I53" s="1" t="s">
        <v>31</v>
      </c>
      <c r="J53" s="2">
        <v>2000000</v>
      </c>
      <c r="K53" s="396">
        <v>39999</v>
      </c>
      <c r="L53" s="2">
        <f t="shared" si="1"/>
        <v>2039999</v>
      </c>
      <c r="M53" s="396"/>
      <c r="N53" s="2">
        <f t="shared" si="13"/>
        <v>2039999</v>
      </c>
    </row>
    <row r="54" spans="1:14" ht="15" customHeight="1" x14ac:dyDescent="0.25">
      <c r="A54" s="583" t="s">
        <v>50</v>
      </c>
      <c r="B54" s="583"/>
      <c r="C54" s="333"/>
      <c r="D54" s="333"/>
      <c r="E54" s="289">
        <v>851</v>
      </c>
      <c r="F54" s="1" t="s">
        <v>18</v>
      </c>
      <c r="G54" s="20" t="s">
        <v>45</v>
      </c>
      <c r="H54" s="74" t="s">
        <v>51</v>
      </c>
      <c r="I54" s="1"/>
      <c r="J54" s="2">
        <f t="shared" ref="J54:M55" si="22">J55</f>
        <v>300000</v>
      </c>
      <c r="K54" s="2">
        <f t="shared" si="22"/>
        <v>0</v>
      </c>
      <c r="L54" s="2">
        <f t="shared" si="1"/>
        <v>300000</v>
      </c>
      <c r="M54" s="2">
        <f t="shared" si="22"/>
        <v>0</v>
      </c>
      <c r="N54" s="2">
        <f t="shared" si="13"/>
        <v>300000</v>
      </c>
    </row>
    <row r="55" spans="1:14" ht="13.5" customHeight="1" x14ac:dyDescent="0.25">
      <c r="A55" s="17"/>
      <c r="B55" s="333" t="s">
        <v>28</v>
      </c>
      <c r="C55" s="332"/>
      <c r="D55" s="332"/>
      <c r="E55" s="289">
        <v>851</v>
      </c>
      <c r="F55" s="1" t="s">
        <v>18</v>
      </c>
      <c r="G55" s="20" t="s">
        <v>45</v>
      </c>
      <c r="H55" s="74" t="s">
        <v>51</v>
      </c>
      <c r="I55" s="1" t="s">
        <v>29</v>
      </c>
      <c r="J55" s="2">
        <f t="shared" si="22"/>
        <v>300000</v>
      </c>
      <c r="K55" s="2">
        <f t="shared" si="22"/>
        <v>0</v>
      </c>
      <c r="L55" s="2">
        <f t="shared" si="1"/>
        <v>300000</v>
      </c>
      <c r="M55" s="2">
        <f t="shared" si="22"/>
        <v>0</v>
      </c>
      <c r="N55" s="2">
        <f t="shared" si="13"/>
        <v>300000</v>
      </c>
    </row>
    <row r="56" spans="1:14" ht="24.75" customHeight="1" x14ac:dyDescent="0.25">
      <c r="A56" s="17"/>
      <c r="B56" s="333" t="s">
        <v>30</v>
      </c>
      <c r="C56" s="333"/>
      <c r="D56" s="333"/>
      <c r="E56" s="289">
        <v>851</v>
      </c>
      <c r="F56" s="1" t="s">
        <v>18</v>
      </c>
      <c r="G56" s="20" t="s">
        <v>45</v>
      </c>
      <c r="H56" s="74" t="s">
        <v>51</v>
      </c>
      <c r="I56" s="1" t="s">
        <v>31</v>
      </c>
      <c r="J56" s="2">
        <v>300000</v>
      </c>
      <c r="K56" s="2"/>
      <c r="L56" s="2">
        <f t="shared" si="1"/>
        <v>300000</v>
      </c>
      <c r="M56" s="2"/>
      <c r="N56" s="2">
        <f t="shared" si="13"/>
        <v>300000</v>
      </c>
    </row>
    <row r="57" spans="1:14" s="11" customFormat="1" x14ac:dyDescent="0.25">
      <c r="A57" s="588" t="s">
        <v>162</v>
      </c>
      <c r="B57" s="588"/>
      <c r="C57" s="341"/>
      <c r="D57" s="33"/>
      <c r="E57" s="32">
        <v>851</v>
      </c>
      <c r="F57" s="7" t="s">
        <v>74</v>
      </c>
      <c r="G57" s="7"/>
      <c r="H57" s="7"/>
      <c r="I57" s="7"/>
      <c r="J57" s="9">
        <f t="shared" ref="J57:N58" si="23">J58</f>
        <v>428902</v>
      </c>
      <c r="K57" s="9">
        <f t="shared" si="23"/>
        <v>0</v>
      </c>
      <c r="L57" s="9">
        <f t="shared" si="23"/>
        <v>428902</v>
      </c>
      <c r="M57" s="9">
        <f t="shared" si="23"/>
        <v>-39699</v>
      </c>
      <c r="N57" s="9">
        <f t="shared" si="23"/>
        <v>389203</v>
      </c>
    </row>
    <row r="58" spans="1:14" s="35" customFormat="1" x14ac:dyDescent="0.25">
      <c r="A58" s="590" t="s">
        <v>163</v>
      </c>
      <c r="B58" s="590"/>
      <c r="C58" s="342"/>
      <c r="D58" s="34"/>
      <c r="E58" s="32">
        <v>851</v>
      </c>
      <c r="F58" s="12" t="s">
        <v>74</v>
      </c>
      <c r="G58" s="12" t="s">
        <v>4</v>
      </c>
      <c r="H58" s="12"/>
      <c r="I58" s="12"/>
      <c r="J58" s="14">
        <f t="shared" si="23"/>
        <v>428902</v>
      </c>
      <c r="K58" s="14">
        <f t="shared" si="23"/>
        <v>0</v>
      </c>
      <c r="L58" s="14">
        <f t="shared" si="23"/>
        <v>428902</v>
      </c>
      <c r="M58" s="14">
        <f t="shared" si="23"/>
        <v>-39699</v>
      </c>
      <c r="N58" s="14">
        <f t="shared" si="23"/>
        <v>389203</v>
      </c>
    </row>
    <row r="59" spans="1:14" s="26" customFormat="1" ht="46.5" customHeight="1" x14ac:dyDescent="0.25">
      <c r="A59" s="583" t="s">
        <v>658</v>
      </c>
      <c r="B59" s="583"/>
      <c r="C59" s="332"/>
      <c r="E59" s="32">
        <v>851</v>
      </c>
      <c r="F59" s="145" t="s">
        <v>74</v>
      </c>
      <c r="G59" s="145" t="s">
        <v>4</v>
      </c>
      <c r="H59" s="145" t="s">
        <v>590</v>
      </c>
      <c r="I59" s="213" t="s">
        <v>164</v>
      </c>
      <c r="J59" s="44">
        <f>J60+J62</f>
        <v>428902</v>
      </c>
      <c r="K59" s="44">
        <f>K60+K62</f>
        <v>0</v>
      </c>
      <c r="L59" s="2">
        <f t="shared" si="1"/>
        <v>428902</v>
      </c>
      <c r="M59" s="44">
        <f>M60+M62</f>
        <v>-39699</v>
      </c>
      <c r="N59" s="2">
        <f t="shared" ref="N59:N63" si="24">L59+M59</f>
        <v>389203</v>
      </c>
    </row>
    <row r="60" spans="1:14" ht="36" customHeight="1" x14ac:dyDescent="0.25">
      <c r="A60" s="17"/>
      <c r="B60" s="332" t="s">
        <v>22</v>
      </c>
      <c r="C60" s="289"/>
      <c r="D60" s="289"/>
      <c r="E60" s="289">
        <v>851</v>
      </c>
      <c r="F60" s="1" t="s">
        <v>74</v>
      </c>
      <c r="G60" s="1" t="s">
        <v>4</v>
      </c>
      <c r="H60" s="145" t="s">
        <v>590</v>
      </c>
      <c r="I60" s="1" t="s">
        <v>24</v>
      </c>
      <c r="J60" s="2">
        <f t="shared" ref="J60:M60" si="25">J61</f>
        <v>379160</v>
      </c>
      <c r="K60" s="2">
        <f t="shared" si="25"/>
        <v>0</v>
      </c>
      <c r="L60" s="2">
        <f t="shared" si="1"/>
        <v>379160</v>
      </c>
      <c r="M60" s="2">
        <f t="shared" si="25"/>
        <v>0</v>
      </c>
      <c r="N60" s="2">
        <f t="shared" si="24"/>
        <v>379160</v>
      </c>
    </row>
    <row r="61" spans="1:14" ht="14.25" customHeight="1" x14ac:dyDescent="0.25">
      <c r="A61" s="17"/>
      <c r="B61" s="332" t="s">
        <v>25</v>
      </c>
      <c r="C61" s="289"/>
      <c r="D61" s="289"/>
      <c r="E61" s="289">
        <v>851</v>
      </c>
      <c r="F61" s="1" t="s">
        <v>74</v>
      </c>
      <c r="G61" s="1" t="s">
        <v>4</v>
      </c>
      <c r="H61" s="145" t="s">
        <v>590</v>
      </c>
      <c r="I61" s="1" t="s">
        <v>26</v>
      </c>
      <c r="J61" s="2">
        <v>379160</v>
      </c>
      <c r="K61" s="2"/>
      <c r="L61" s="2">
        <f t="shared" si="1"/>
        <v>379160</v>
      </c>
      <c r="M61" s="2"/>
      <c r="N61" s="2">
        <f t="shared" si="24"/>
        <v>379160</v>
      </c>
    </row>
    <row r="62" spans="1:14" ht="14.25" customHeight="1" x14ac:dyDescent="0.25">
      <c r="A62" s="17"/>
      <c r="B62" s="333" t="s">
        <v>28</v>
      </c>
      <c r="C62" s="289"/>
      <c r="D62" s="289"/>
      <c r="E62" s="289">
        <v>851</v>
      </c>
      <c r="F62" s="1" t="s">
        <v>74</v>
      </c>
      <c r="G62" s="1" t="s">
        <v>4</v>
      </c>
      <c r="H62" s="145" t="s">
        <v>590</v>
      </c>
      <c r="I62" s="1" t="s">
        <v>29</v>
      </c>
      <c r="J62" s="2">
        <f t="shared" ref="J62:M62" si="26">J63</f>
        <v>49742</v>
      </c>
      <c r="K62" s="2">
        <f t="shared" si="26"/>
        <v>0</v>
      </c>
      <c r="L62" s="2">
        <f t="shared" si="1"/>
        <v>49742</v>
      </c>
      <c r="M62" s="2">
        <f t="shared" si="26"/>
        <v>-39699</v>
      </c>
      <c r="N62" s="2">
        <f t="shared" si="24"/>
        <v>10043</v>
      </c>
    </row>
    <row r="63" spans="1:14" ht="27" customHeight="1" x14ac:dyDescent="0.25">
      <c r="A63" s="17"/>
      <c r="B63" s="333" t="s">
        <v>30</v>
      </c>
      <c r="C63" s="289"/>
      <c r="D63" s="289"/>
      <c r="E63" s="289">
        <v>851</v>
      </c>
      <c r="F63" s="1" t="s">
        <v>74</v>
      </c>
      <c r="G63" s="1" t="s">
        <v>4</v>
      </c>
      <c r="H63" s="145" t="s">
        <v>590</v>
      </c>
      <c r="I63" s="1" t="s">
        <v>31</v>
      </c>
      <c r="J63" s="2">
        <v>49742</v>
      </c>
      <c r="K63" s="2"/>
      <c r="L63" s="2">
        <f t="shared" si="1"/>
        <v>49742</v>
      </c>
      <c r="M63" s="2">
        <v>-39699</v>
      </c>
      <c r="N63" s="2">
        <f t="shared" si="24"/>
        <v>10043</v>
      </c>
    </row>
    <row r="64" spans="1:14" s="11" customFormat="1" ht="14.25" customHeight="1" x14ac:dyDescent="0.25">
      <c r="A64" s="588" t="s">
        <v>56</v>
      </c>
      <c r="B64" s="588"/>
      <c r="C64" s="377"/>
      <c r="D64" s="377"/>
      <c r="E64" s="289">
        <v>851</v>
      </c>
      <c r="F64" s="7" t="s">
        <v>4</v>
      </c>
      <c r="G64" s="7"/>
      <c r="H64" s="7"/>
      <c r="I64" s="7"/>
      <c r="J64" s="9">
        <f t="shared" ref="J64:N65" si="27">J65</f>
        <v>1332400</v>
      </c>
      <c r="K64" s="9">
        <f t="shared" si="27"/>
        <v>10900</v>
      </c>
      <c r="L64" s="9">
        <f t="shared" si="27"/>
        <v>1343300</v>
      </c>
      <c r="M64" s="9">
        <f t="shared" si="27"/>
        <v>0</v>
      </c>
      <c r="N64" s="9">
        <f t="shared" si="27"/>
        <v>1343300</v>
      </c>
    </row>
    <row r="65" spans="1:14" s="15" customFormat="1" ht="30" customHeight="1" x14ac:dyDescent="0.25">
      <c r="A65" s="589" t="s">
        <v>57</v>
      </c>
      <c r="B65" s="589"/>
      <c r="C65" s="378"/>
      <c r="D65" s="378"/>
      <c r="E65" s="289">
        <v>851</v>
      </c>
      <c r="F65" s="12" t="s">
        <v>4</v>
      </c>
      <c r="G65" s="12" t="s">
        <v>58</v>
      </c>
      <c r="H65" s="12"/>
      <c r="I65" s="12"/>
      <c r="J65" s="14">
        <f>J66</f>
        <v>1332400</v>
      </c>
      <c r="K65" s="14">
        <f t="shared" si="27"/>
        <v>10900</v>
      </c>
      <c r="L65" s="14">
        <f t="shared" si="27"/>
        <v>1343300</v>
      </c>
      <c r="M65" s="14">
        <f t="shared" si="27"/>
        <v>0</v>
      </c>
      <c r="N65" s="14">
        <f t="shared" si="27"/>
        <v>1343300</v>
      </c>
    </row>
    <row r="66" spans="1:14" ht="15" customHeight="1" x14ac:dyDescent="0.25">
      <c r="A66" s="583" t="s">
        <v>572</v>
      </c>
      <c r="B66" s="583"/>
      <c r="C66" s="376"/>
      <c r="D66" s="376"/>
      <c r="E66" s="289">
        <v>851</v>
      </c>
      <c r="F66" s="1" t="s">
        <v>4</v>
      </c>
      <c r="G66" s="126" t="s">
        <v>58</v>
      </c>
      <c r="H66" s="1" t="s">
        <v>59</v>
      </c>
      <c r="I66" s="1"/>
      <c r="J66" s="2">
        <f>J67+J69</f>
        <v>1332400</v>
      </c>
      <c r="K66" s="2">
        <f>K67+K69</f>
        <v>10900</v>
      </c>
      <c r="L66" s="2">
        <f t="shared" si="1"/>
        <v>1343300</v>
      </c>
      <c r="M66" s="2">
        <f>M67+M69</f>
        <v>0</v>
      </c>
      <c r="N66" s="2">
        <f t="shared" ref="N66:N70" si="28">L66+M66</f>
        <v>1343300</v>
      </c>
    </row>
    <row r="67" spans="1:14" ht="39" customHeight="1" x14ac:dyDescent="0.25">
      <c r="A67" s="376"/>
      <c r="B67" s="375" t="s">
        <v>22</v>
      </c>
      <c r="C67" s="376"/>
      <c r="D67" s="376"/>
      <c r="E67" s="289">
        <v>851</v>
      </c>
      <c r="F67" s="1" t="s">
        <v>4</v>
      </c>
      <c r="G67" s="20" t="s">
        <v>58</v>
      </c>
      <c r="H67" s="1" t="s">
        <v>59</v>
      </c>
      <c r="I67" s="1" t="s">
        <v>24</v>
      </c>
      <c r="J67" s="2">
        <f>J68</f>
        <v>1246000</v>
      </c>
      <c r="K67" s="2">
        <f>K68</f>
        <v>0</v>
      </c>
      <c r="L67" s="2">
        <f t="shared" si="1"/>
        <v>1246000</v>
      </c>
      <c r="M67" s="2">
        <f>M68</f>
        <v>0</v>
      </c>
      <c r="N67" s="2">
        <f t="shared" si="28"/>
        <v>1246000</v>
      </c>
    </row>
    <row r="68" spans="1:14" ht="13.5" customHeight="1" x14ac:dyDescent="0.25">
      <c r="A68" s="376"/>
      <c r="B68" s="376" t="s">
        <v>60</v>
      </c>
      <c r="C68" s="376"/>
      <c r="D68" s="376"/>
      <c r="E68" s="289">
        <v>851</v>
      </c>
      <c r="F68" s="1" t="s">
        <v>4</v>
      </c>
      <c r="G68" s="20" t="s">
        <v>58</v>
      </c>
      <c r="H68" s="1" t="s">
        <v>59</v>
      </c>
      <c r="I68" s="1" t="s">
        <v>61</v>
      </c>
      <c r="J68" s="2">
        <v>1246000</v>
      </c>
      <c r="K68" s="2"/>
      <c r="L68" s="2">
        <f t="shared" si="1"/>
        <v>1246000</v>
      </c>
      <c r="M68" s="2"/>
      <c r="N68" s="2">
        <f t="shared" si="28"/>
        <v>1246000</v>
      </c>
    </row>
    <row r="69" spans="1:14" ht="13.5" customHeight="1" x14ac:dyDescent="0.25">
      <c r="A69" s="17"/>
      <c r="B69" s="376" t="s">
        <v>28</v>
      </c>
      <c r="C69" s="375"/>
      <c r="D69" s="375"/>
      <c r="E69" s="289">
        <v>851</v>
      </c>
      <c r="F69" s="1" t="s">
        <v>4</v>
      </c>
      <c r="G69" s="20" t="s">
        <v>58</v>
      </c>
      <c r="H69" s="1" t="s">
        <v>59</v>
      </c>
      <c r="I69" s="1" t="s">
        <v>29</v>
      </c>
      <c r="J69" s="2">
        <f t="shared" ref="J69:M69" si="29">J70</f>
        <v>86400</v>
      </c>
      <c r="K69" s="2">
        <f t="shared" si="29"/>
        <v>10900</v>
      </c>
      <c r="L69" s="2">
        <f t="shared" si="1"/>
        <v>97300</v>
      </c>
      <c r="M69" s="2">
        <f t="shared" si="29"/>
        <v>0</v>
      </c>
      <c r="N69" s="2">
        <f t="shared" si="28"/>
        <v>97300</v>
      </c>
    </row>
    <row r="70" spans="1:14" ht="25.5" customHeight="1" x14ac:dyDescent="0.25">
      <c r="A70" s="17"/>
      <c r="B70" s="376" t="s">
        <v>30</v>
      </c>
      <c r="C70" s="376"/>
      <c r="D70" s="376"/>
      <c r="E70" s="289">
        <v>851</v>
      </c>
      <c r="F70" s="1" t="s">
        <v>4</v>
      </c>
      <c r="G70" s="20" t="s">
        <v>58</v>
      </c>
      <c r="H70" s="1" t="s">
        <v>59</v>
      </c>
      <c r="I70" s="1" t="s">
        <v>31</v>
      </c>
      <c r="J70" s="2">
        <v>86400</v>
      </c>
      <c r="K70" s="2">
        <v>10900</v>
      </c>
      <c r="L70" s="2">
        <f t="shared" si="1"/>
        <v>97300</v>
      </c>
      <c r="M70" s="2"/>
      <c r="N70" s="2">
        <f t="shared" si="28"/>
        <v>97300</v>
      </c>
    </row>
    <row r="71" spans="1:14" s="11" customFormat="1" x14ac:dyDescent="0.25">
      <c r="A71" s="588" t="s">
        <v>62</v>
      </c>
      <c r="B71" s="588"/>
      <c r="C71" s="341"/>
      <c r="D71" s="341"/>
      <c r="E71" s="289">
        <v>851</v>
      </c>
      <c r="F71" s="7" t="s">
        <v>7</v>
      </c>
      <c r="G71" s="7"/>
      <c r="H71" s="7"/>
      <c r="I71" s="7"/>
      <c r="J71" s="9">
        <f>J72+J85+J89</f>
        <v>2897640</v>
      </c>
      <c r="K71" s="9">
        <f>K72+K85+K89</f>
        <v>1300000</v>
      </c>
      <c r="L71" s="9">
        <f>L72+L85+L89</f>
        <v>4197640</v>
      </c>
      <c r="M71" s="9">
        <f>M72+M85+M89</f>
        <v>687855</v>
      </c>
      <c r="N71" s="9">
        <f>N72+N85+N89</f>
        <v>4885495</v>
      </c>
    </row>
    <row r="72" spans="1:14" s="15" customFormat="1" x14ac:dyDescent="0.25">
      <c r="A72" s="589" t="s">
        <v>63</v>
      </c>
      <c r="B72" s="589"/>
      <c r="C72" s="345"/>
      <c r="D72" s="345"/>
      <c r="E72" s="289">
        <v>851</v>
      </c>
      <c r="F72" s="12" t="s">
        <v>7</v>
      </c>
      <c r="G72" s="12" t="s">
        <v>64</v>
      </c>
      <c r="H72" s="12"/>
      <c r="I72" s="12"/>
      <c r="J72" s="14">
        <f>J76+J79+J82</f>
        <v>66140</v>
      </c>
      <c r="K72" s="14">
        <f t="shared" ref="K72" si="30">K76+K79+K82</f>
        <v>1300000</v>
      </c>
      <c r="L72" s="14">
        <f>L73+L76+L79+L82</f>
        <v>1366140</v>
      </c>
      <c r="M72" s="14">
        <f t="shared" ref="M72:N72" si="31">M73+M76+M79+M82</f>
        <v>700000</v>
      </c>
      <c r="N72" s="14">
        <f t="shared" si="31"/>
        <v>2066140</v>
      </c>
    </row>
    <row r="73" spans="1:14" s="26" customFormat="1" ht="25.5" customHeight="1" x14ac:dyDescent="0.25">
      <c r="A73" s="552" t="s">
        <v>828</v>
      </c>
      <c r="B73" s="553"/>
      <c r="C73" s="465"/>
      <c r="D73" s="465"/>
      <c r="E73" s="289">
        <v>851</v>
      </c>
      <c r="F73" s="20" t="s">
        <v>7</v>
      </c>
      <c r="G73" s="127" t="s">
        <v>64</v>
      </c>
      <c r="H73" s="20" t="s">
        <v>827</v>
      </c>
      <c r="I73" s="20"/>
      <c r="J73" s="24"/>
      <c r="K73" s="24"/>
      <c r="L73" s="2">
        <f t="shared" ref="L73:L74" si="32">J73+K73</f>
        <v>0</v>
      </c>
      <c r="M73" s="2">
        <f t="shared" ref="M73:M74" si="33">M74</f>
        <v>700000</v>
      </c>
      <c r="N73" s="2">
        <f t="shared" ref="N73:N74" si="34">L73+M73</f>
        <v>700000</v>
      </c>
    </row>
    <row r="74" spans="1:14" s="26" customFormat="1" x14ac:dyDescent="0.25">
      <c r="A74" s="466"/>
      <c r="B74" s="465" t="s">
        <v>32</v>
      </c>
      <c r="C74" s="465"/>
      <c r="D74" s="465"/>
      <c r="E74" s="289">
        <v>851</v>
      </c>
      <c r="F74" s="20" t="s">
        <v>7</v>
      </c>
      <c r="G74" s="127" t="s">
        <v>64</v>
      </c>
      <c r="H74" s="20" t="s">
        <v>827</v>
      </c>
      <c r="I74" s="20" t="s">
        <v>33</v>
      </c>
      <c r="J74" s="24"/>
      <c r="K74" s="24"/>
      <c r="L74" s="2">
        <f t="shared" si="32"/>
        <v>0</v>
      </c>
      <c r="M74" s="2">
        <f t="shared" si="33"/>
        <v>700000</v>
      </c>
      <c r="N74" s="2">
        <f t="shared" si="34"/>
        <v>700000</v>
      </c>
    </row>
    <row r="75" spans="1:14" s="26" customFormat="1" ht="24" x14ac:dyDescent="0.25">
      <c r="A75" s="466"/>
      <c r="B75" s="465" t="s">
        <v>376</v>
      </c>
      <c r="C75" s="465"/>
      <c r="D75" s="465"/>
      <c r="E75" s="289">
        <v>851</v>
      </c>
      <c r="F75" s="20" t="s">
        <v>7</v>
      </c>
      <c r="G75" s="127" t="s">
        <v>64</v>
      </c>
      <c r="H75" s="20" t="s">
        <v>827</v>
      </c>
      <c r="I75" s="20" t="s">
        <v>67</v>
      </c>
      <c r="J75" s="24"/>
      <c r="K75" s="24"/>
      <c r="L75" s="24">
        <v>0</v>
      </c>
      <c r="M75" s="24">
        <v>700000</v>
      </c>
      <c r="N75" s="24">
        <f>L75+M75</f>
        <v>700000</v>
      </c>
    </row>
    <row r="76" spans="1:14" s="15" customFormat="1" ht="63.75" customHeight="1" x14ac:dyDescent="0.25">
      <c r="A76" s="552" t="s">
        <v>603</v>
      </c>
      <c r="B76" s="553"/>
      <c r="C76" s="345"/>
      <c r="D76" s="345"/>
      <c r="E76" s="289">
        <v>851</v>
      </c>
      <c r="F76" s="1" t="s">
        <v>7</v>
      </c>
      <c r="G76" s="126" t="s">
        <v>64</v>
      </c>
      <c r="H76" s="1" t="s">
        <v>604</v>
      </c>
      <c r="I76" s="1"/>
      <c r="J76" s="2">
        <f t="shared" ref="J76:M77" si="35">J77</f>
        <v>11140</v>
      </c>
      <c r="K76" s="2">
        <f t="shared" si="35"/>
        <v>0</v>
      </c>
      <c r="L76" s="2">
        <f t="shared" si="1"/>
        <v>11140</v>
      </c>
      <c r="M76" s="2">
        <f t="shared" si="35"/>
        <v>0</v>
      </c>
      <c r="N76" s="2">
        <f t="shared" ref="N76:N81" si="36">L76+M76</f>
        <v>11140</v>
      </c>
    </row>
    <row r="77" spans="1:14" s="15" customFormat="1" ht="12" customHeight="1" x14ac:dyDescent="0.25">
      <c r="A77" s="345"/>
      <c r="B77" s="347" t="s">
        <v>28</v>
      </c>
      <c r="C77" s="332"/>
      <c r="D77" s="332"/>
      <c r="E77" s="289">
        <v>851</v>
      </c>
      <c r="F77" s="1" t="s">
        <v>7</v>
      </c>
      <c r="G77" s="126" t="s">
        <v>64</v>
      </c>
      <c r="H77" s="1" t="s">
        <v>604</v>
      </c>
      <c r="I77" s="1" t="s">
        <v>29</v>
      </c>
      <c r="J77" s="2">
        <f t="shared" si="35"/>
        <v>11140</v>
      </c>
      <c r="K77" s="2">
        <f t="shared" si="35"/>
        <v>0</v>
      </c>
      <c r="L77" s="2">
        <f t="shared" si="1"/>
        <v>11140</v>
      </c>
      <c r="M77" s="2">
        <f t="shared" si="35"/>
        <v>0</v>
      </c>
      <c r="N77" s="2">
        <f t="shared" si="36"/>
        <v>11140</v>
      </c>
    </row>
    <row r="78" spans="1:14" s="15" customFormat="1" ht="25.5" customHeight="1" x14ac:dyDescent="0.25">
      <c r="A78" s="345"/>
      <c r="B78" s="347" t="s">
        <v>30</v>
      </c>
      <c r="C78" s="333"/>
      <c r="D78" s="333"/>
      <c r="E78" s="289">
        <v>851</v>
      </c>
      <c r="F78" s="1" t="s">
        <v>7</v>
      </c>
      <c r="G78" s="126" t="s">
        <v>64</v>
      </c>
      <c r="H78" s="1" t="s">
        <v>604</v>
      </c>
      <c r="I78" s="1" t="s">
        <v>31</v>
      </c>
      <c r="J78" s="2">
        <v>11140</v>
      </c>
      <c r="K78" s="2"/>
      <c r="L78" s="2">
        <f t="shared" si="1"/>
        <v>11140</v>
      </c>
      <c r="M78" s="2"/>
      <c r="N78" s="2">
        <f t="shared" si="36"/>
        <v>11140</v>
      </c>
    </row>
    <row r="79" spans="1:14" ht="24.75" customHeight="1" x14ac:dyDescent="0.25">
      <c r="A79" s="552" t="s">
        <v>65</v>
      </c>
      <c r="B79" s="553"/>
      <c r="C79" s="333"/>
      <c r="D79" s="333"/>
      <c r="E79" s="289">
        <v>851</v>
      </c>
      <c r="F79" s="1" t="s">
        <v>7</v>
      </c>
      <c r="G79" s="1" t="s">
        <v>64</v>
      </c>
      <c r="H79" s="1" t="s">
        <v>725</v>
      </c>
      <c r="I79" s="1"/>
      <c r="J79" s="2">
        <f t="shared" ref="J79:M80" si="37">J80</f>
        <v>55000</v>
      </c>
      <c r="K79" s="2">
        <f t="shared" si="37"/>
        <v>0</v>
      </c>
      <c r="L79" s="2">
        <f t="shared" si="1"/>
        <v>55000</v>
      </c>
      <c r="M79" s="2">
        <f t="shared" si="37"/>
        <v>0</v>
      </c>
      <c r="N79" s="2">
        <f t="shared" si="36"/>
        <v>55000</v>
      </c>
    </row>
    <row r="80" spans="1:14" ht="15.75" customHeight="1" x14ac:dyDescent="0.25">
      <c r="A80" s="17"/>
      <c r="B80" s="333" t="s">
        <v>28</v>
      </c>
      <c r="C80" s="332"/>
      <c r="D80" s="332"/>
      <c r="E80" s="289">
        <v>851</v>
      </c>
      <c r="F80" s="1" t="s">
        <v>7</v>
      </c>
      <c r="G80" s="1" t="s">
        <v>64</v>
      </c>
      <c r="H80" s="1" t="s">
        <v>725</v>
      </c>
      <c r="I80" s="1" t="s">
        <v>29</v>
      </c>
      <c r="J80" s="2">
        <f t="shared" si="37"/>
        <v>55000</v>
      </c>
      <c r="K80" s="2">
        <f t="shared" si="37"/>
        <v>0</v>
      </c>
      <c r="L80" s="2">
        <f t="shared" ref="L80:L157" si="38">J80+K80</f>
        <v>55000</v>
      </c>
      <c r="M80" s="2">
        <f t="shared" si="37"/>
        <v>0</v>
      </c>
      <c r="N80" s="2">
        <f t="shared" si="36"/>
        <v>55000</v>
      </c>
    </row>
    <row r="81" spans="1:14" ht="27" customHeight="1" x14ac:dyDescent="0.25">
      <c r="A81" s="17"/>
      <c r="B81" s="333" t="s">
        <v>30</v>
      </c>
      <c r="C81" s="333"/>
      <c r="D81" s="333"/>
      <c r="E81" s="289">
        <v>851</v>
      </c>
      <c r="F81" s="1" t="s">
        <v>7</v>
      </c>
      <c r="G81" s="1" t="s">
        <v>64</v>
      </c>
      <c r="H81" s="1" t="s">
        <v>725</v>
      </c>
      <c r="I81" s="1" t="s">
        <v>31</v>
      </c>
      <c r="J81" s="2">
        <v>55000</v>
      </c>
      <c r="K81" s="2"/>
      <c r="L81" s="2">
        <f t="shared" si="38"/>
        <v>55000</v>
      </c>
      <c r="M81" s="2"/>
      <c r="N81" s="2">
        <f t="shared" si="36"/>
        <v>55000</v>
      </c>
    </row>
    <row r="82" spans="1:14" ht="27" customHeight="1" x14ac:dyDescent="0.25">
      <c r="A82" s="576" t="s">
        <v>749</v>
      </c>
      <c r="B82" s="576"/>
      <c r="C82" s="380"/>
      <c r="D82" s="380"/>
      <c r="E82" s="289">
        <v>851</v>
      </c>
      <c r="F82" s="1" t="s">
        <v>7</v>
      </c>
      <c r="G82" s="1" t="s">
        <v>64</v>
      </c>
      <c r="H82" s="1" t="s">
        <v>780</v>
      </c>
      <c r="I82" s="379"/>
      <c r="J82" s="2">
        <f>J83</f>
        <v>0</v>
      </c>
      <c r="K82" s="2">
        <f t="shared" ref="K82:N83" si="39">K83</f>
        <v>1300000</v>
      </c>
      <c r="L82" s="2">
        <f t="shared" si="39"/>
        <v>1300000</v>
      </c>
      <c r="M82" s="2">
        <f t="shared" si="39"/>
        <v>0</v>
      </c>
      <c r="N82" s="2">
        <f t="shared" si="39"/>
        <v>1300000</v>
      </c>
    </row>
    <row r="83" spans="1:14" ht="13.5" customHeight="1" x14ac:dyDescent="0.25">
      <c r="A83" s="380"/>
      <c r="B83" s="380" t="s">
        <v>32</v>
      </c>
      <c r="C83" s="380"/>
      <c r="D83" s="380"/>
      <c r="E83" s="289">
        <v>851</v>
      </c>
      <c r="F83" s="1" t="s">
        <v>7</v>
      </c>
      <c r="G83" s="1" t="s">
        <v>64</v>
      </c>
      <c r="H83" s="1" t="s">
        <v>780</v>
      </c>
      <c r="I83" s="1" t="s">
        <v>33</v>
      </c>
      <c r="J83" s="2">
        <f>J84</f>
        <v>0</v>
      </c>
      <c r="K83" s="2">
        <f t="shared" si="39"/>
        <v>1300000</v>
      </c>
      <c r="L83" s="2">
        <f t="shared" si="39"/>
        <v>1300000</v>
      </c>
      <c r="M83" s="2">
        <f t="shared" si="39"/>
        <v>0</v>
      </c>
      <c r="N83" s="2">
        <f t="shared" si="39"/>
        <v>1300000</v>
      </c>
    </row>
    <row r="84" spans="1:14" ht="27" customHeight="1" x14ac:dyDescent="0.25">
      <c r="A84" s="380"/>
      <c r="B84" s="380" t="s">
        <v>376</v>
      </c>
      <c r="C84" s="380"/>
      <c r="D84" s="380"/>
      <c r="E84" s="289">
        <v>851</v>
      </c>
      <c r="F84" s="1" t="s">
        <v>7</v>
      </c>
      <c r="G84" s="1" t="s">
        <v>64</v>
      </c>
      <c r="H84" s="1" t="s">
        <v>780</v>
      </c>
      <c r="I84" s="1" t="s">
        <v>67</v>
      </c>
      <c r="J84" s="2"/>
      <c r="K84" s="2">
        <v>1300000</v>
      </c>
      <c r="L84" s="2">
        <f>J84+K84</f>
        <v>1300000</v>
      </c>
      <c r="M84" s="2"/>
      <c r="N84" s="2">
        <f>L84+M84</f>
        <v>1300000</v>
      </c>
    </row>
    <row r="85" spans="1:14" s="15" customFormat="1" x14ac:dyDescent="0.25">
      <c r="A85" s="589" t="s">
        <v>372</v>
      </c>
      <c r="B85" s="589"/>
      <c r="C85" s="345"/>
      <c r="D85" s="345"/>
      <c r="E85" s="289">
        <v>851</v>
      </c>
      <c r="F85" s="12" t="s">
        <v>7</v>
      </c>
      <c r="G85" s="12" t="s">
        <v>58</v>
      </c>
      <c r="H85" s="12"/>
      <c r="I85" s="12"/>
      <c r="J85" s="14">
        <f t="shared" ref="J85:N87" si="40">J86</f>
        <v>2558000</v>
      </c>
      <c r="K85" s="14">
        <f t="shared" si="40"/>
        <v>0</v>
      </c>
      <c r="L85" s="14">
        <f t="shared" si="40"/>
        <v>2558000</v>
      </c>
      <c r="M85" s="14">
        <f t="shared" si="40"/>
        <v>0</v>
      </c>
      <c r="N85" s="14">
        <f t="shared" si="40"/>
        <v>2558000</v>
      </c>
    </row>
    <row r="86" spans="1:14" ht="24.75" customHeight="1" x14ac:dyDescent="0.25">
      <c r="A86" s="583" t="s">
        <v>614</v>
      </c>
      <c r="B86" s="583"/>
      <c r="C86" s="333"/>
      <c r="D86" s="333"/>
      <c r="E86" s="289">
        <v>851</v>
      </c>
      <c r="F86" s="20" t="s">
        <v>7</v>
      </c>
      <c r="G86" s="20" t="s">
        <v>58</v>
      </c>
      <c r="H86" s="20" t="s">
        <v>613</v>
      </c>
      <c r="I86" s="20"/>
      <c r="J86" s="2">
        <f t="shared" si="40"/>
        <v>2558000</v>
      </c>
      <c r="K86" s="2">
        <f t="shared" si="40"/>
        <v>0</v>
      </c>
      <c r="L86" s="2">
        <f t="shared" si="38"/>
        <v>2558000</v>
      </c>
      <c r="M86" s="2">
        <f t="shared" si="40"/>
        <v>0</v>
      </c>
      <c r="N86" s="2">
        <f t="shared" ref="N86:N88" si="41">L86+M86</f>
        <v>2558000</v>
      </c>
    </row>
    <row r="87" spans="1:14" ht="15.75" customHeight="1" x14ac:dyDescent="0.25">
      <c r="A87" s="333"/>
      <c r="B87" s="333" t="s">
        <v>28</v>
      </c>
      <c r="C87" s="333"/>
      <c r="D87" s="333"/>
      <c r="E87" s="289">
        <v>851</v>
      </c>
      <c r="F87" s="20" t="s">
        <v>7</v>
      </c>
      <c r="G87" s="20" t="s">
        <v>58</v>
      </c>
      <c r="H87" s="20" t="s">
        <v>613</v>
      </c>
      <c r="I87" s="1" t="s">
        <v>29</v>
      </c>
      <c r="J87" s="2">
        <f t="shared" si="40"/>
        <v>2558000</v>
      </c>
      <c r="K87" s="2">
        <f t="shared" si="40"/>
        <v>0</v>
      </c>
      <c r="L87" s="2">
        <f t="shared" si="38"/>
        <v>2558000</v>
      </c>
      <c r="M87" s="2">
        <f t="shared" si="40"/>
        <v>0</v>
      </c>
      <c r="N87" s="2">
        <f t="shared" si="41"/>
        <v>2558000</v>
      </c>
    </row>
    <row r="88" spans="1:14" ht="24.75" customHeight="1" x14ac:dyDescent="0.25">
      <c r="A88" s="333"/>
      <c r="B88" s="333" t="s">
        <v>30</v>
      </c>
      <c r="C88" s="333"/>
      <c r="D88" s="333"/>
      <c r="E88" s="289">
        <v>851</v>
      </c>
      <c r="F88" s="20" t="s">
        <v>7</v>
      </c>
      <c r="G88" s="20" t="s">
        <v>58</v>
      </c>
      <c r="H88" s="20" t="s">
        <v>613</v>
      </c>
      <c r="I88" s="1" t="s">
        <v>31</v>
      </c>
      <c r="J88" s="2">
        <v>2558000</v>
      </c>
      <c r="K88" s="2">
        <v>0</v>
      </c>
      <c r="L88" s="2">
        <f t="shared" si="38"/>
        <v>2558000</v>
      </c>
      <c r="M88" s="2">
        <v>0</v>
      </c>
      <c r="N88" s="2">
        <f t="shared" si="41"/>
        <v>2558000</v>
      </c>
    </row>
    <row r="89" spans="1:14" s="15" customFormat="1" x14ac:dyDescent="0.25">
      <c r="A89" s="589" t="s">
        <v>68</v>
      </c>
      <c r="B89" s="589"/>
      <c r="C89" s="345"/>
      <c r="D89" s="345"/>
      <c r="E89" s="289">
        <v>851</v>
      </c>
      <c r="F89" s="12" t="s">
        <v>7</v>
      </c>
      <c r="G89" s="12" t="s">
        <v>69</v>
      </c>
      <c r="H89" s="12"/>
      <c r="I89" s="12"/>
      <c r="J89" s="14">
        <f t="shared" ref="J89:L89" si="42">J90+J95</f>
        <v>273500</v>
      </c>
      <c r="K89" s="14">
        <f t="shared" si="42"/>
        <v>0</v>
      </c>
      <c r="L89" s="14">
        <f t="shared" si="42"/>
        <v>273500</v>
      </c>
      <c r="M89" s="14">
        <f t="shared" ref="M89:N89" si="43">M90+M95</f>
        <v>-12145</v>
      </c>
      <c r="N89" s="14">
        <f t="shared" si="43"/>
        <v>261355</v>
      </c>
    </row>
    <row r="90" spans="1:14" ht="26.25" customHeight="1" x14ac:dyDescent="0.25">
      <c r="A90" s="583" t="s">
        <v>70</v>
      </c>
      <c r="B90" s="583"/>
      <c r="C90" s="333"/>
      <c r="D90" s="333"/>
      <c r="E90" s="289">
        <v>851</v>
      </c>
      <c r="F90" s="20" t="s">
        <v>7</v>
      </c>
      <c r="G90" s="20" t="s">
        <v>69</v>
      </c>
      <c r="H90" s="20" t="s">
        <v>71</v>
      </c>
      <c r="I90" s="20"/>
      <c r="J90" s="2">
        <f t="shared" ref="J90:K90" si="44">J91+J93</f>
        <v>173500</v>
      </c>
      <c r="K90" s="2">
        <f t="shared" si="44"/>
        <v>0</v>
      </c>
      <c r="L90" s="2">
        <f t="shared" si="38"/>
        <v>173500</v>
      </c>
      <c r="M90" s="2">
        <f t="shared" ref="M90" si="45">M91+M93</f>
        <v>-12145</v>
      </c>
      <c r="N90" s="2">
        <f t="shared" ref="N90:N97" si="46">L90+M90</f>
        <v>161355</v>
      </c>
    </row>
    <row r="91" spans="1:14" ht="40.5" customHeight="1" x14ac:dyDescent="0.25">
      <c r="A91" s="333"/>
      <c r="B91" s="332" t="s">
        <v>22</v>
      </c>
      <c r="C91" s="333"/>
      <c r="D91" s="333"/>
      <c r="E91" s="289">
        <v>851</v>
      </c>
      <c r="F91" s="20" t="s">
        <v>7</v>
      </c>
      <c r="G91" s="20" t="s">
        <v>69</v>
      </c>
      <c r="H91" s="20" t="s">
        <v>71</v>
      </c>
      <c r="I91" s="1" t="s">
        <v>24</v>
      </c>
      <c r="J91" s="2">
        <f t="shared" ref="J91:M91" si="47">J92</f>
        <v>97615</v>
      </c>
      <c r="K91" s="2">
        <f t="shared" si="47"/>
        <v>0</v>
      </c>
      <c r="L91" s="2">
        <f t="shared" si="38"/>
        <v>97615</v>
      </c>
      <c r="M91" s="2">
        <f t="shared" si="47"/>
        <v>0</v>
      </c>
      <c r="N91" s="2">
        <f t="shared" si="46"/>
        <v>97615</v>
      </c>
    </row>
    <row r="92" spans="1:14" ht="15" customHeight="1" x14ac:dyDescent="0.25">
      <c r="A92" s="17"/>
      <c r="B92" s="332" t="s">
        <v>25</v>
      </c>
      <c r="C92" s="332"/>
      <c r="D92" s="332"/>
      <c r="E92" s="289">
        <v>851</v>
      </c>
      <c r="F92" s="20" t="s">
        <v>7</v>
      </c>
      <c r="G92" s="20" t="s">
        <v>69</v>
      </c>
      <c r="H92" s="20" t="s">
        <v>71</v>
      </c>
      <c r="I92" s="1" t="s">
        <v>26</v>
      </c>
      <c r="J92" s="2">
        <v>97615</v>
      </c>
      <c r="K92" s="2"/>
      <c r="L92" s="2">
        <f t="shared" si="38"/>
        <v>97615</v>
      </c>
      <c r="M92" s="2"/>
      <c r="N92" s="2">
        <f t="shared" si="46"/>
        <v>97615</v>
      </c>
    </row>
    <row r="93" spans="1:14" ht="12.75" customHeight="1" x14ac:dyDescent="0.25">
      <c r="A93" s="17"/>
      <c r="B93" s="333" t="s">
        <v>28</v>
      </c>
      <c r="C93" s="332"/>
      <c r="D93" s="332"/>
      <c r="E93" s="289">
        <v>851</v>
      </c>
      <c r="F93" s="20" t="s">
        <v>7</v>
      </c>
      <c r="G93" s="20" t="s">
        <v>69</v>
      </c>
      <c r="H93" s="20" t="s">
        <v>71</v>
      </c>
      <c r="I93" s="1" t="s">
        <v>29</v>
      </c>
      <c r="J93" s="2">
        <f t="shared" ref="J93:M93" si="48">J94</f>
        <v>75885</v>
      </c>
      <c r="K93" s="2">
        <f t="shared" si="48"/>
        <v>0</v>
      </c>
      <c r="L93" s="2">
        <f t="shared" si="38"/>
        <v>75885</v>
      </c>
      <c r="M93" s="2">
        <f t="shared" si="48"/>
        <v>-12145</v>
      </c>
      <c r="N93" s="2">
        <f t="shared" si="46"/>
        <v>63740</v>
      </c>
    </row>
    <row r="94" spans="1:14" ht="26.25" customHeight="1" x14ac:dyDescent="0.25">
      <c r="A94" s="17"/>
      <c r="B94" s="333" t="s">
        <v>30</v>
      </c>
      <c r="C94" s="333"/>
      <c r="D94" s="333"/>
      <c r="E94" s="289">
        <v>851</v>
      </c>
      <c r="F94" s="20" t="s">
        <v>7</v>
      </c>
      <c r="G94" s="20" t="s">
        <v>69</v>
      </c>
      <c r="H94" s="20" t="s">
        <v>71</v>
      </c>
      <c r="I94" s="1" t="s">
        <v>31</v>
      </c>
      <c r="J94" s="2">
        <v>75885</v>
      </c>
      <c r="K94" s="2"/>
      <c r="L94" s="2">
        <f t="shared" si="38"/>
        <v>75885</v>
      </c>
      <c r="M94" s="2">
        <v>-12145</v>
      </c>
      <c r="N94" s="2">
        <f t="shared" si="46"/>
        <v>63740</v>
      </c>
    </row>
    <row r="95" spans="1:14" ht="25.5" customHeight="1" x14ac:dyDescent="0.25">
      <c r="A95" s="552" t="s">
        <v>569</v>
      </c>
      <c r="B95" s="553"/>
      <c r="C95" s="333"/>
      <c r="D95" s="115"/>
      <c r="E95" s="289">
        <v>851</v>
      </c>
      <c r="F95" s="20" t="s">
        <v>7</v>
      </c>
      <c r="G95" s="20" t="s">
        <v>69</v>
      </c>
      <c r="H95" s="20" t="s">
        <v>740</v>
      </c>
      <c r="I95" s="1"/>
      <c r="J95" s="2">
        <f t="shared" ref="J95:M96" si="49">J96</f>
        <v>100000</v>
      </c>
      <c r="K95" s="2">
        <f t="shared" si="49"/>
        <v>0</v>
      </c>
      <c r="L95" s="2">
        <f t="shared" si="38"/>
        <v>100000</v>
      </c>
      <c r="M95" s="2">
        <f t="shared" si="49"/>
        <v>0</v>
      </c>
      <c r="N95" s="2">
        <f t="shared" si="46"/>
        <v>100000</v>
      </c>
    </row>
    <row r="96" spans="1:14" x14ac:dyDescent="0.25">
      <c r="A96" s="17"/>
      <c r="B96" s="333" t="s">
        <v>32</v>
      </c>
      <c r="C96" s="333"/>
      <c r="D96" s="115"/>
      <c r="E96" s="289">
        <v>851</v>
      </c>
      <c r="F96" s="20" t="s">
        <v>7</v>
      </c>
      <c r="G96" s="20" t="s">
        <v>69</v>
      </c>
      <c r="H96" s="20" t="s">
        <v>740</v>
      </c>
      <c r="I96" s="1" t="s">
        <v>33</v>
      </c>
      <c r="J96" s="2">
        <f t="shared" si="49"/>
        <v>100000</v>
      </c>
      <c r="K96" s="2">
        <f t="shared" si="49"/>
        <v>0</v>
      </c>
      <c r="L96" s="2">
        <f t="shared" si="38"/>
        <v>100000</v>
      </c>
      <c r="M96" s="2">
        <f t="shared" si="49"/>
        <v>0</v>
      </c>
      <c r="N96" s="2">
        <f t="shared" si="46"/>
        <v>100000</v>
      </c>
    </row>
    <row r="97" spans="1:14" ht="27.75" customHeight="1" x14ac:dyDescent="0.25">
      <c r="A97" s="17"/>
      <c r="B97" s="333" t="s">
        <v>376</v>
      </c>
      <c r="C97" s="333"/>
      <c r="D97" s="115"/>
      <c r="E97" s="289">
        <v>851</v>
      </c>
      <c r="F97" s="20" t="s">
        <v>7</v>
      </c>
      <c r="G97" s="20" t="s">
        <v>69</v>
      </c>
      <c r="H97" s="20" t="s">
        <v>740</v>
      </c>
      <c r="I97" s="1" t="s">
        <v>67</v>
      </c>
      <c r="J97" s="2">
        <v>100000</v>
      </c>
      <c r="K97" s="2"/>
      <c r="L97" s="2">
        <f t="shared" si="38"/>
        <v>100000</v>
      </c>
      <c r="M97" s="2"/>
      <c r="N97" s="2">
        <f t="shared" si="46"/>
        <v>100000</v>
      </c>
    </row>
    <row r="98" spans="1:14" s="11" customFormat="1" ht="13.5" customHeight="1" x14ac:dyDescent="0.25">
      <c r="A98" s="243" t="s">
        <v>72</v>
      </c>
      <c r="B98" s="377"/>
      <c r="C98" s="377"/>
      <c r="E98" s="374">
        <v>851</v>
      </c>
      <c r="F98" s="39" t="s">
        <v>64</v>
      </c>
      <c r="G98" s="39"/>
      <c r="H98" s="39"/>
      <c r="I98" s="7"/>
      <c r="J98" s="9">
        <f>J99+J103</f>
        <v>741440</v>
      </c>
      <c r="K98" s="9">
        <f>K99+K103</f>
        <v>943038</v>
      </c>
      <c r="L98" s="9">
        <f>L99+L103</f>
        <v>1684478</v>
      </c>
      <c r="M98" s="9">
        <f>M99+M103</f>
        <v>0</v>
      </c>
      <c r="N98" s="9">
        <f>N99+N103</f>
        <v>1684478</v>
      </c>
    </row>
    <row r="99" spans="1:14" s="15" customFormat="1" ht="13.5" customHeight="1" x14ac:dyDescent="0.25">
      <c r="A99" s="584" t="s">
        <v>371</v>
      </c>
      <c r="B99" s="584"/>
      <c r="C99" s="345"/>
      <c r="E99" s="289">
        <v>851</v>
      </c>
      <c r="F99" s="22" t="s">
        <v>64</v>
      </c>
      <c r="G99" s="128" t="s">
        <v>18</v>
      </c>
      <c r="H99" s="22"/>
      <c r="I99" s="12"/>
      <c r="J99" s="14">
        <f>J100</f>
        <v>41440</v>
      </c>
      <c r="K99" s="14">
        <f t="shared" ref="K99" si="50">K100</f>
        <v>0</v>
      </c>
      <c r="L99" s="14">
        <f>L100</f>
        <v>41440</v>
      </c>
      <c r="M99" s="14">
        <f t="shared" ref="M99:N99" si="51">M100</f>
        <v>0</v>
      </c>
      <c r="N99" s="14">
        <f t="shared" si="51"/>
        <v>41440</v>
      </c>
    </row>
    <row r="100" spans="1:14" s="15" customFormat="1" ht="13.5" customHeight="1" x14ac:dyDescent="0.25">
      <c r="A100" s="583" t="s">
        <v>585</v>
      </c>
      <c r="B100" s="583"/>
      <c r="C100" s="333"/>
      <c r="D100" s="6"/>
      <c r="E100" s="289">
        <v>851</v>
      </c>
      <c r="F100" s="20" t="s">
        <v>64</v>
      </c>
      <c r="G100" s="127" t="s">
        <v>18</v>
      </c>
      <c r="H100" s="20" t="s">
        <v>586</v>
      </c>
      <c r="I100" s="1"/>
      <c r="J100" s="2">
        <f t="shared" ref="J100:M101" si="52">J101</f>
        <v>41440</v>
      </c>
      <c r="K100" s="2">
        <f t="shared" si="52"/>
        <v>0</v>
      </c>
      <c r="L100" s="2">
        <f t="shared" si="38"/>
        <v>41440</v>
      </c>
      <c r="M100" s="2">
        <f t="shared" si="52"/>
        <v>0</v>
      </c>
      <c r="N100" s="2">
        <f t="shared" ref="N100:N102" si="53">L100+M100</f>
        <v>41440</v>
      </c>
    </row>
    <row r="101" spans="1:14" s="15" customFormat="1" ht="15" customHeight="1" x14ac:dyDescent="0.25">
      <c r="A101" s="333"/>
      <c r="B101" s="347" t="s">
        <v>28</v>
      </c>
      <c r="C101" s="333"/>
      <c r="D101" s="333"/>
      <c r="E101" s="289">
        <v>851</v>
      </c>
      <c r="F101" s="20" t="s">
        <v>64</v>
      </c>
      <c r="G101" s="127" t="s">
        <v>18</v>
      </c>
      <c r="H101" s="20" t="s">
        <v>586</v>
      </c>
      <c r="I101" s="1" t="s">
        <v>29</v>
      </c>
      <c r="J101" s="2">
        <f t="shared" si="52"/>
        <v>41440</v>
      </c>
      <c r="K101" s="2">
        <f t="shared" si="52"/>
        <v>0</v>
      </c>
      <c r="L101" s="2">
        <f t="shared" si="38"/>
        <v>41440</v>
      </c>
      <c r="M101" s="2">
        <f t="shared" si="52"/>
        <v>0</v>
      </c>
      <c r="N101" s="2">
        <f t="shared" si="53"/>
        <v>41440</v>
      </c>
    </row>
    <row r="102" spans="1:14" s="15" customFormat="1" ht="26.25" customHeight="1" x14ac:dyDescent="0.25">
      <c r="A102" s="333"/>
      <c r="B102" s="347" t="s">
        <v>30</v>
      </c>
      <c r="C102" s="333"/>
      <c r="D102" s="333"/>
      <c r="E102" s="289">
        <v>851</v>
      </c>
      <c r="F102" s="20" t="s">
        <v>64</v>
      </c>
      <c r="G102" s="127" t="s">
        <v>18</v>
      </c>
      <c r="H102" s="20" t="s">
        <v>586</v>
      </c>
      <c r="I102" s="1" t="s">
        <v>31</v>
      </c>
      <c r="J102" s="2">
        <f>41422+18</f>
        <v>41440</v>
      </c>
      <c r="K102" s="2"/>
      <c r="L102" s="2">
        <f t="shared" si="38"/>
        <v>41440</v>
      </c>
      <c r="M102" s="2"/>
      <c r="N102" s="2">
        <f t="shared" si="53"/>
        <v>41440</v>
      </c>
    </row>
    <row r="103" spans="1:14" s="15" customFormat="1" x14ac:dyDescent="0.25">
      <c r="A103" s="349" t="s">
        <v>73</v>
      </c>
      <c r="B103" s="345"/>
      <c r="C103" s="345"/>
      <c r="E103" s="289">
        <v>851</v>
      </c>
      <c r="F103" s="22" t="s">
        <v>64</v>
      </c>
      <c r="G103" s="22" t="s">
        <v>74</v>
      </c>
      <c r="H103" s="22"/>
      <c r="I103" s="12"/>
      <c r="J103" s="14">
        <f>J104+J107+J110+J113</f>
        <v>700000</v>
      </c>
      <c r="K103" s="14">
        <f t="shared" ref="K103" si="54">K104+K107+K110+K113</f>
        <v>943038</v>
      </c>
      <c r="L103" s="14">
        <f>L104+L107+L110+L113</f>
        <v>1643038</v>
      </c>
      <c r="M103" s="14">
        <f t="shared" ref="M103:N103" si="55">M104+M107+M110+M113</f>
        <v>0</v>
      </c>
      <c r="N103" s="14">
        <f t="shared" si="55"/>
        <v>1643038</v>
      </c>
    </row>
    <row r="104" spans="1:14" x14ac:dyDescent="0.25">
      <c r="A104" s="574" t="s">
        <v>779</v>
      </c>
      <c r="B104" s="575"/>
      <c r="C104" s="384"/>
      <c r="E104" s="289">
        <v>851</v>
      </c>
      <c r="F104" s="20" t="s">
        <v>64</v>
      </c>
      <c r="G104" s="20" t="s">
        <v>74</v>
      </c>
      <c r="H104" s="20" t="s">
        <v>778</v>
      </c>
      <c r="I104" s="1"/>
      <c r="J104" s="2">
        <f t="shared" ref="J104:K104" si="56">J106</f>
        <v>0</v>
      </c>
      <c r="K104" s="2">
        <f t="shared" si="56"/>
        <v>285000</v>
      </c>
      <c r="L104" s="2">
        <f t="shared" ref="L104:L106" si="57">J104+K104</f>
        <v>285000</v>
      </c>
      <c r="M104" s="2">
        <f t="shared" ref="M104" si="58">M106</f>
        <v>0</v>
      </c>
      <c r="N104" s="2">
        <f t="shared" ref="N104:N112" si="59">L104+M104</f>
        <v>285000</v>
      </c>
    </row>
    <row r="105" spans="1:14" s="15" customFormat="1" ht="13.5" customHeight="1" x14ac:dyDescent="0.25">
      <c r="A105" s="393"/>
      <c r="B105" s="384" t="s">
        <v>597</v>
      </c>
      <c r="C105" s="391"/>
      <c r="E105" s="289">
        <v>851</v>
      </c>
      <c r="F105" s="20" t="s">
        <v>64</v>
      </c>
      <c r="G105" s="20" t="s">
        <v>74</v>
      </c>
      <c r="H105" s="20" t="s">
        <v>778</v>
      </c>
      <c r="I105" s="1" t="s">
        <v>77</v>
      </c>
      <c r="J105" s="2">
        <f t="shared" ref="J105:M105" si="60">J106</f>
        <v>0</v>
      </c>
      <c r="K105" s="2">
        <f t="shared" si="60"/>
        <v>285000</v>
      </c>
      <c r="L105" s="2">
        <f t="shared" si="57"/>
        <v>285000</v>
      </c>
      <c r="M105" s="2">
        <f t="shared" si="60"/>
        <v>0</v>
      </c>
      <c r="N105" s="2">
        <f t="shared" si="59"/>
        <v>285000</v>
      </c>
    </row>
    <row r="106" spans="1:14" s="15" customFormat="1" ht="24" x14ac:dyDescent="0.25">
      <c r="A106" s="393"/>
      <c r="B106" s="384" t="s">
        <v>78</v>
      </c>
      <c r="C106" s="391"/>
      <c r="E106" s="289">
        <v>851</v>
      </c>
      <c r="F106" s="20" t="s">
        <v>64</v>
      </c>
      <c r="G106" s="20" t="s">
        <v>74</v>
      </c>
      <c r="H106" s="20" t="s">
        <v>778</v>
      </c>
      <c r="I106" s="1" t="s">
        <v>79</v>
      </c>
      <c r="J106" s="2">
        <v>0</v>
      </c>
      <c r="K106" s="2">
        <v>285000</v>
      </c>
      <c r="L106" s="2">
        <f t="shared" si="57"/>
        <v>285000</v>
      </c>
      <c r="M106" s="2"/>
      <c r="N106" s="2">
        <f t="shared" si="59"/>
        <v>285000</v>
      </c>
    </row>
    <row r="107" spans="1:14" ht="24" customHeight="1" x14ac:dyDescent="0.25">
      <c r="A107" s="583" t="s">
        <v>75</v>
      </c>
      <c r="B107" s="583"/>
      <c r="C107" s="333"/>
      <c r="D107" s="333"/>
      <c r="E107" s="289">
        <v>851</v>
      </c>
      <c r="F107" s="20" t="s">
        <v>64</v>
      </c>
      <c r="G107" s="20" t="s">
        <v>74</v>
      </c>
      <c r="H107" s="20" t="s">
        <v>76</v>
      </c>
      <c r="I107" s="1"/>
      <c r="J107" s="2">
        <f t="shared" ref="J107:K107" si="61">J109</f>
        <v>700000</v>
      </c>
      <c r="K107" s="2">
        <f t="shared" si="61"/>
        <v>10570</v>
      </c>
      <c r="L107" s="2">
        <f t="shared" si="38"/>
        <v>710570</v>
      </c>
      <c r="M107" s="2">
        <f t="shared" ref="M107" si="62">M109</f>
        <v>0</v>
      </c>
      <c r="N107" s="2">
        <f t="shared" si="59"/>
        <v>710570</v>
      </c>
    </row>
    <row r="108" spans="1:14" ht="13.5" customHeight="1" x14ac:dyDescent="0.25">
      <c r="A108" s="333"/>
      <c r="B108" s="333" t="s">
        <v>597</v>
      </c>
      <c r="C108" s="333"/>
      <c r="D108" s="333"/>
      <c r="E108" s="289">
        <v>851</v>
      </c>
      <c r="F108" s="20" t="s">
        <v>64</v>
      </c>
      <c r="G108" s="20" t="s">
        <v>74</v>
      </c>
      <c r="H108" s="20" t="s">
        <v>76</v>
      </c>
      <c r="I108" s="1" t="s">
        <v>77</v>
      </c>
      <c r="J108" s="2">
        <f t="shared" ref="J108:M108" si="63">J109</f>
        <v>700000</v>
      </c>
      <c r="K108" s="2">
        <f t="shared" si="63"/>
        <v>10570</v>
      </c>
      <c r="L108" s="2">
        <f t="shared" si="38"/>
        <v>710570</v>
      </c>
      <c r="M108" s="2">
        <f t="shared" si="63"/>
        <v>0</v>
      </c>
      <c r="N108" s="2">
        <f t="shared" si="59"/>
        <v>710570</v>
      </c>
    </row>
    <row r="109" spans="1:14" ht="25.5" customHeight="1" x14ac:dyDescent="0.25">
      <c r="A109" s="17"/>
      <c r="B109" s="333" t="s">
        <v>78</v>
      </c>
      <c r="C109" s="333"/>
      <c r="D109" s="333"/>
      <c r="E109" s="289">
        <v>851</v>
      </c>
      <c r="F109" s="20" t="s">
        <v>64</v>
      </c>
      <c r="G109" s="20" t="s">
        <v>74</v>
      </c>
      <c r="H109" s="20" t="s">
        <v>76</v>
      </c>
      <c r="I109" s="1" t="s">
        <v>79</v>
      </c>
      <c r="J109" s="2">
        <v>700000</v>
      </c>
      <c r="K109" s="2">
        <v>10570</v>
      </c>
      <c r="L109" s="2">
        <f t="shared" si="38"/>
        <v>710570</v>
      </c>
      <c r="M109" s="2"/>
      <c r="N109" s="2">
        <f t="shared" si="59"/>
        <v>710570</v>
      </c>
    </row>
    <row r="110" spans="1:14" ht="12.75" customHeight="1" x14ac:dyDescent="0.25">
      <c r="A110" s="583" t="s">
        <v>763</v>
      </c>
      <c r="B110" s="583"/>
      <c r="C110" s="384"/>
      <c r="D110" s="384"/>
      <c r="E110" s="289">
        <v>851</v>
      </c>
      <c r="F110" s="20" t="s">
        <v>64</v>
      </c>
      <c r="G110" s="20" t="s">
        <v>74</v>
      </c>
      <c r="H110" s="20" t="s">
        <v>764</v>
      </c>
      <c r="I110" s="1"/>
      <c r="J110" s="2">
        <f t="shared" ref="J110:K110" si="64">J112</f>
        <v>0</v>
      </c>
      <c r="K110" s="2">
        <f t="shared" si="64"/>
        <v>15000</v>
      </c>
      <c r="L110" s="2">
        <f t="shared" ref="L110:L112" si="65">J110+K110</f>
        <v>15000</v>
      </c>
      <c r="M110" s="2">
        <f t="shared" ref="M110" si="66">M112</f>
        <v>0</v>
      </c>
      <c r="N110" s="2">
        <f t="shared" si="59"/>
        <v>15000</v>
      </c>
    </row>
    <row r="111" spans="1:14" ht="13.5" customHeight="1" x14ac:dyDescent="0.25">
      <c r="A111" s="384"/>
      <c r="B111" s="384" t="s">
        <v>597</v>
      </c>
      <c r="C111" s="384"/>
      <c r="D111" s="384"/>
      <c r="E111" s="289">
        <v>851</v>
      </c>
      <c r="F111" s="20" t="s">
        <v>64</v>
      </c>
      <c r="G111" s="20" t="s">
        <v>74</v>
      </c>
      <c r="H111" s="20" t="s">
        <v>764</v>
      </c>
      <c r="I111" s="1" t="s">
        <v>77</v>
      </c>
      <c r="J111" s="2">
        <f t="shared" ref="J111:M111" si="67">J112</f>
        <v>0</v>
      </c>
      <c r="K111" s="2">
        <f t="shared" si="67"/>
        <v>15000</v>
      </c>
      <c r="L111" s="2">
        <f t="shared" si="65"/>
        <v>15000</v>
      </c>
      <c r="M111" s="2">
        <f t="shared" si="67"/>
        <v>0</v>
      </c>
      <c r="N111" s="2">
        <f t="shared" si="59"/>
        <v>15000</v>
      </c>
    </row>
    <row r="112" spans="1:14" ht="25.5" customHeight="1" x14ac:dyDescent="0.25">
      <c r="A112" s="17"/>
      <c r="B112" s="384" t="s">
        <v>78</v>
      </c>
      <c r="C112" s="384"/>
      <c r="D112" s="384"/>
      <c r="E112" s="289">
        <v>851</v>
      </c>
      <c r="F112" s="20" t="s">
        <v>64</v>
      </c>
      <c r="G112" s="20" t="s">
        <v>74</v>
      </c>
      <c r="H112" s="20" t="s">
        <v>764</v>
      </c>
      <c r="I112" s="1" t="s">
        <v>79</v>
      </c>
      <c r="J112" s="2">
        <v>0</v>
      </c>
      <c r="K112" s="2">
        <v>15000</v>
      </c>
      <c r="L112" s="2">
        <f t="shared" si="65"/>
        <v>15000</v>
      </c>
      <c r="M112" s="2"/>
      <c r="N112" s="2">
        <f t="shared" si="59"/>
        <v>15000</v>
      </c>
    </row>
    <row r="113" spans="1:14" ht="16.5" customHeight="1" x14ac:dyDescent="0.25">
      <c r="A113" s="574" t="s">
        <v>782</v>
      </c>
      <c r="B113" s="575"/>
      <c r="C113" s="384"/>
      <c r="D113" s="384"/>
      <c r="E113" s="289">
        <v>851</v>
      </c>
      <c r="F113" s="20" t="s">
        <v>64</v>
      </c>
      <c r="G113" s="20" t="s">
        <v>74</v>
      </c>
      <c r="H113" s="20" t="s">
        <v>796</v>
      </c>
      <c r="I113" s="1"/>
      <c r="J113" s="2">
        <f>J114</f>
        <v>0</v>
      </c>
      <c r="K113" s="2">
        <f t="shared" ref="K113:N113" si="68">K114</f>
        <v>632468</v>
      </c>
      <c r="L113" s="2">
        <f t="shared" si="68"/>
        <v>632468</v>
      </c>
      <c r="M113" s="2">
        <f t="shared" si="68"/>
        <v>0</v>
      </c>
      <c r="N113" s="2">
        <f t="shared" si="68"/>
        <v>632468</v>
      </c>
    </row>
    <row r="114" spans="1:14" s="15" customFormat="1" ht="15" customHeight="1" x14ac:dyDescent="0.25">
      <c r="A114" s="384"/>
      <c r="B114" s="392" t="s">
        <v>28</v>
      </c>
      <c r="C114" s="384"/>
      <c r="D114" s="384"/>
      <c r="E114" s="289">
        <v>851</v>
      </c>
      <c r="F114" s="20" t="s">
        <v>64</v>
      </c>
      <c r="G114" s="127" t="s">
        <v>74</v>
      </c>
      <c r="H114" s="20" t="s">
        <v>796</v>
      </c>
      <c r="I114" s="1" t="s">
        <v>29</v>
      </c>
      <c r="J114" s="2">
        <f t="shared" ref="J114:M114" si="69">J115</f>
        <v>0</v>
      </c>
      <c r="K114" s="2">
        <f t="shared" si="69"/>
        <v>632468</v>
      </c>
      <c r="L114" s="2">
        <f t="shared" ref="L114:L115" si="70">J114+K114</f>
        <v>632468</v>
      </c>
      <c r="M114" s="2">
        <f t="shared" si="69"/>
        <v>0</v>
      </c>
      <c r="N114" s="2">
        <f t="shared" ref="N114:N115" si="71">L114+M114</f>
        <v>632468</v>
      </c>
    </row>
    <row r="115" spans="1:14" s="15" customFormat="1" ht="26.25" customHeight="1" x14ac:dyDescent="0.25">
      <c r="A115" s="384"/>
      <c r="B115" s="392" t="s">
        <v>30</v>
      </c>
      <c r="C115" s="384"/>
      <c r="D115" s="384"/>
      <c r="E115" s="289">
        <v>851</v>
      </c>
      <c r="F115" s="20" t="s">
        <v>64</v>
      </c>
      <c r="G115" s="127" t="s">
        <v>74</v>
      </c>
      <c r="H115" s="20" t="s">
        <v>796</v>
      </c>
      <c r="I115" s="1" t="s">
        <v>31</v>
      </c>
      <c r="J115" s="2">
        <v>0</v>
      </c>
      <c r="K115" s="2">
        <v>632468</v>
      </c>
      <c r="L115" s="2">
        <f t="shared" si="70"/>
        <v>632468</v>
      </c>
      <c r="M115" s="2"/>
      <c r="N115" s="2">
        <f t="shared" si="71"/>
        <v>632468</v>
      </c>
    </row>
    <row r="116" spans="1:14" s="11" customFormat="1" x14ac:dyDescent="0.25">
      <c r="A116" s="588" t="s">
        <v>80</v>
      </c>
      <c r="B116" s="588"/>
      <c r="C116" s="341"/>
      <c r="D116" s="341"/>
      <c r="E116" s="289">
        <v>851</v>
      </c>
      <c r="F116" s="7" t="s">
        <v>37</v>
      </c>
      <c r="G116" s="7"/>
      <c r="H116" s="7"/>
      <c r="I116" s="7"/>
      <c r="J116" s="9">
        <f>J117</f>
        <v>8214000</v>
      </c>
      <c r="K116" s="9">
        <f>K117</f>
        <v>4517500</v>
      </c>
      <c r="L116" s="9">
        <f>L117</f>
        <v>12731500</v>
      </c>
      <c r="M116" s="9">
        <f>M117</f>
        <v>-940718</v>
      </c>
      <c r="N116" s="9">
        <f>N117</f>
        <v>11790782</v>
      </c>
    </row>
    <row r="117" spans="1:14" s="15" customFormat="1" x14ac:dyDescent="0.25">
      <c r="A117" s="589" t="s">
        <v>84</v>
      </c>
      <c r="B117" s="589"/>
      <c r="C117" s="345"/>
      <c r="D117" s="345"/>
      <c r="E117" s="289">
        <v>851</v>
      </c>
      <c r="F117" s="12" t="s">
        <v>37</v>
      </c>
      <c r="G117" s="12" t="s">
        <v>74</v>
      </c>
      <c r="H117" s="12"/>
      <c r="I117" s="12"/>
      <c r="J117" s="14">
        <f>J118+J121</f>
        <v>8214000</v>
      </c>
      <c r="K117" s="14">
        <f t="shared" ref="K117:L117" si="72">K118+K121</f>
        <v>4517500</v>
      </c>
      <c r="L117" s="14">
        <f t="shared" si="72"/>
        <v>12731500</v>
      </c>
      <c r="M117" s="14">
        <f t="shared" ref="M117:N117" si="73">M118+M121</f>
        <v>-940718</v>
      </c>
      <c r="N117" s="14">
        <f t="shared" si="73"/>
        <v>11790782</v>
      </c>
    </row>
    <row r="118" spans="1:14" s="15" customFormat="1" ht="13.5" customHeight="1" x14ac:dyDescent="0.25">
      <c r="A118" s="574" t="s">
        <v>779</v>
      </c>
      <c r="B118" s="575"/>
      <c r="C118" s="391"/>
      <c r="D118" s="391"/>
      <c r="E118" s="289">
        <v>851</v>
      </c>
      <c r="F118" s="1" t="s">
        <v>37</v>
      </c>
      <c r="G118" s="20" t="s">
        <v>74</v>
      </c>
      <c r="H118" s="1" t="s">
        <v>778</v>
      </c>
      <c r="I118" s="12"/>
      <c r="J118" s="2">
        <f>J119</f>
        <v>0</v>
      </c>
      <c r="K118" s="2">
        <f t="shared" ref="K118:N118" si="74">K119</f>
        <v>4517500</v>
      </c>
      <c r="L118" s="2">
        <f t="shared" si="74"/>
        <v>4517500</v>
      </c>
      <c r="M118" s="2">
        <f t="shared" si="74"/>
        <v>0</v>
      </c>
      <c r="N118" s="2">
        <f t="shared" si="74"/>
        <v>4517500</v>
      </c>
    </row>
    <row r="119" spans="1:14" s="15" customFormat="1" ht="13.5" customHeight="1" x14ac:dyDescent="0.25">
      <c r="A119" s="393"/>
      <c r="B119" s="384" t="s">
        <v>597</v>
      </c>
      <c r="C119" s="391"/>
      <c r="D119" s="391"/>
      <c r="E119" s="289">
        <v>851</v>
      </c>
      <c r="F119" s="1" t="s">
        <v>37</v>
      </c>
      <c r="G119" s="20" t="s">
        <v>74</v>
      </c>
      <c r="H119" s="1" t="s">
        <v>778</v>
      </c>
      <c r="I119" s="1" t="s">
        <v>77</v>
      </c>
      <c r="J119" s="2">
        <f t="shared" ref="J119:M119" si="75">J120</f>
        <v>0</v>
      </c>
      <c r="K119" s="2">
        <f t="shared" si="75"/>
        <v>4517500</v>
      </c>
      <c r="L119" s="2">
        <f t="shared" ref="L119:L122" si="76">J119+K119</f>
        <v>4517500</v>
      </c>
      <c r="M119" s="2">
        <f t="shared" si="75"/>
        <v>0</v>
      </c>
      <c r="N119" s="2">
        <f t="shared" ref="N119:N125" si="77">L119+M119</f>
        <v>4517500</v>
      </c>
    </row>
    <row r="120" spans="1:14" s="15" customFormat="1" ht="24" x14ac:dyDescent="0.25">
      <c r="A120" s="393"/>
      <c r="B120" s="384" t="s">
        <v>78</v>
      </c>
      <c r="C120" s="391"/>
      <c r="D120" s="391"/>
      <c r="E120" s="289">
        <v>851</v>
      </c>
      <c r="F120" s="1" t="s">
        <v>37</v>
      </c>
      <c r="G120" s="20" t="s">
        <v>74</v>
      </c>
      <c r="H120" s="1" t="s">
        <v>778</v>
      </c>
      <c r="I120" s="1" t="s">
        <v>79</v>
      </c>
      <c r="J120" s="2"/>
      <c r="K120" s="2">
        <v>4517500</v>
      </c>
      <c r="L120" s="2">
        <f t="shared" si="76"/>
        <v>4517500</v>
      </c>
      <c r="M120" s="2"/>
      <c r="N120" s="2">
        <f t="shared" si="77"/>
        <v>4517500</v>
      </c>
    </row>
    <row r="121" spans="1:14" x14ac:dyDescent="0.25">
      <c r="A121" s="583" t="s">
        <v>82</v>
      </c>
      <c r="B121" s="583"/>
      <c r="C121" s="333"/>
      <c r="D121" s="333"/>
      <c r="E121" s="289">
        <v>851</v>
      </c>
      <c r="F121" s="1" t="s">
        <v>37</v>
      </c>
      <c r="G121" s="20" t="s">
        <v>74</v>
      </c>
      <c r="H121" s="1" t="s">
        <v>83</v>
      </c>
      <c r="I121" s="1"/>
      <c r="J121" s="2">
        <f t="shared" ref="J121:K121" si="78">J122</f>
        <v>8214000</v>
      </c>
      <c r="K121" s="2">
        <f t="shared" si="78"/>
        <v>0</v>
      </c>
      <c r="L121" s="2">
        <f>L124</f>
        <v>8214000</v>
      </c>
      <c r="M121" s="2">
        <f t="shared" ref="M121:N121" si="79">M124</f>
        <v>-940718</v>
      </c>
      <c r="N121" s="2">
        <f t="shared" si="79"/>
        <v>7273282</v>
      </c>
    </row>
    <row r="122" spans="1:14" hidden="1" x14ac:dyDescent="0.25">
      <c r="A122" s="333"/>
      <c r="B122" s="333" t="s">
        <v>28</v>
      </c>
      <c r="C122" s="332"/>
      <c r="D122" s="332"/>
      <c r="E122" s="289">
        <v>851</v>
      </c>
      <c r="F122" s="1" t="s">
        <v>37</v>
      </c>
      <c r="G122" s="20" t="s">
        <v>74</v>
      </c>
      <c r="H122" s="1" t="s">
        <v>83</v>
      </c>
      <c r="I122" s="1" t="s">
        <v>29</v>
      </c>
      <c r="J122" s="2">
        <f>10245000-2030982-18</f>
        <v>8214000</v>
      </c>
      <c r="K122" s="2"/>
      <c r="L122" s="2">
        <f t="shared" si="76"/>
        <v>8214000</v>
      </c>
      <c r="M122" s="2"/>
      <c r="N122" s="2">
        <f t="shared" si="77"/>
        <v>8214000</v>
      </c>
    </row>
    <row r="123" spans="1:14" ht="24" hidden="1" x14ac:dyDescent="0.25">
      <c r="A123" s="333"/>
      <c r="B123" s="333" t="s">
        <v>30</v>
      </c>
      <c r="C123" s="333"/>
      <c r="D123" s="333"/>
      <c r="E123" s="289">
        <v>851</v>
      </c>
      <c r="F123" s="1" t="s">
        <v>37</v>
      </c>
      <c r="G123" s="20" t="s">
        <v>74</v>
      </c>
      <c r="H123" s="1" t="s">
        <v>83</v>
      </c>
      <c r="I123" s="1" t="s">
        <v>31</v>
      </c>
      <c r="J123" s="2"/>
      <c r="K123" s="2"/>
      <c r="L123" s="2">
        <f t="shared" si="38"/>
        <v>0</v>
      </c>
      <c r="M123" s="2"/>
      <c r="N123" s="2">
        <f t="shared" si="77"/>
        <v>0</v>
      </c>
    </row>
    <row r="124" spans="1:14" ht="14.25" customHeight="1" x14ac:dyDescent="0.25">
      <c r="A124" s="333"/>
      <c r="B124" s="333" t="s">
        <v>597</v>
      </c>
      <c r="C124" s="333"/>
      <c r="D124" s="333"/>
      <c r="E124" s="289">
        <v>851</v>
      </c>
      <c r="F124" s="1" t="s">
        <v>37</v>
      </c>
      <c r="G124" s="20" t="s">
        <v>74</v>
      </c>
      <c r="H124" s="1" t="s">
        <v>83</v>
      </c>
      <c r="I124" s="1" t="s">
        <v>77</v>
      </c>
      <c r="J124" s="2">
        <f t="shared" ref="J124:M124" si="80">J125</f>
        <v>8214000</v>
      </c>
      <c r="K124" s="2">
        <f t="shared" si="80"/>
        <v>0</v>
      </c>
      <c r="L124" s="2">
        <f t="shared" si="38"/>
        <v>8214000</v>
      </c>
      <c r="M124" s="2">
        <f t="shared" si="80"/>
        <v>-940718</v>
      </c>
      <c r="N124" s="2">
        <f t="shared" si="77"/>
        <v>7273282</v>
      </c>
    </row>
    <row r="125" spans="1:14" ht="25.5" customHeight="1" x14ac:dyDescent="0.25">
      <c r="A125" s="333"/>
      <c r="B125" s="333" t="s">
        <v>78</v>
      </c>
      <c r="C125" s="333"/>
      <c r="D125" s="333"/>
      <c r="E125" s="289">
        <v>851</v>
      </c>
      <c r="F125" s="1" t="s">
        <v>37</v>
      </c>
      <c r="G125" s="20" t="s">
        <v>74</v>
      </c>
      <c r="H125" s="1" t="s">
        <v>83</v>
      </c>
      <c r="I125" s="1" t="s">
        <v>79</v>
      </c>
      <c r="J125" s="2">
        <f>10245000-2030982-18</f>
        <v>8214000</v>
      </c>
      <c r="K125" s="2"/>
      <c r="L125" s="2">
        <f t="shared" si="38"/>
        <v>8214000</v>
      </c>
      <c r="M125" s="2">
        <f>-57314-700000-115000-68104-300</f>
        <v>-940718</v>
      </c>
      <c r="N125" s="2">
        <f t="shared" si="77"/>
        <v>7273282</v>
      </c>
    </row>
    <row r="126" spans="1:14" x14ac:dyDescent="0.25">
      <c r="A126" s="588" t="s">
        <v>85</v>
      </c>
      <c r="B126" s="588"/>
      <c r="C126" s="341"/>
      <c r="D126" s="341"/>
      <c r="E126" s="289">
        <v>851</v>
      </c>
      <c r="F126" s="7" t="s">
        <v>86</v>
      </c>
      <c r="G126" s="7"/>
      <c r="H126" s="7"/>
      <c r="I126" s="7"/>
      <c r="J126" s="9">
        <f>J127+J149</f>
        <v>14871640</v>
      </c>
      <c r="K126" s="9">
        <f>K127+K149</f>
        <v>605000</v>
      </c>
      <c r="L126" s="9">
        <f>L127+L149</f>
        <v>15476640</v>
      </c>
      <c r="M126" s="9">
        <f>M127+M149</f>
        <v>0</v>
      </c>
      <c r="N126" s="9">
        <f>N127+N149</f>
        <v>15476640</v>
      </c>
    </row>
    <row r="127" spans="1:14" x14ac:dyDescent="0.25">
      <c r="A127" s="589" t="s">
        <v>87</v>
      </c>
      <c r="B127" s="589"/>
      <c r="C127" s="345"/>
      <c r="D127" s="345"/>
      <c r="E127" s="289">
        <v>851</v>
      </c>
      <c r="F127" s="12" t="s">
        <v>86</v>
      </c>
      <c r="G127" s="12" t="s">
        <v>18</v>
      </c>
      <c r="H127" s="12"/>
      <c r="I127" s="12"/>
      <c r="J127" s="14">
        <f>J128+J131+J134+J137+J140+J143+J146</f>
        <v>14856640</v>
      </c>
      <c r="K127" s="14">
        <f>K128+K131+K134+K137+K140+K143+K146</f>
        <v>605000</v>
      </c>
      <c r="L127" s="14">
        <f>L128+L131+L134+L137+L140+L143+L146</f>
        <v>15461640</v>
      </c>
      <c r="M127" s="14">
        <f>M128+M131+M134+M137+M140+M143+M146</f>
        <v>0</v>
      </c>
      <c r="N127" s="14">
        <f>N128+N131+N134+N137+N140+N143+N146</f>
        <v>15461640</v>
      </c>
    </row>
    <row r="128" spans="1:14" x14ac:dyDescent="0.25">
      <c r="A128" s="583" t="s">
        <v>93</v>
      </c>
      <c r="B128" s="583"/>
      <c r="C128" s="333"/>
      <c r="D128" s="333"/>
      <c r="E128" s="289">
        <v>851</v>
      </c>
      <c r="F128" s="1" t="s">
        <v>86</v>
      </c>
      <c r="G128" s="1" t="s">
        <v>18</v>
      </c>
      <c r="H128" s="1" t="s">
        <v>726</v>
      </c>
      <c r="I128" s="1"/>
      <c r="J128" s="2">
        <f t="shared" ref="J128:M129" si="81">J129</f>
        <v>2580900</v>
      </c>
      <c r="K128" s="2">
        <f t="shared" si="81"/>
        <v>0</v>
      </c>
      <c r="L128" s="2">
        <f t="shared" si="38"/>
        <v>2580900</v>
      </c>
      <c r="M128" s="2">
        <f t="shared" si="81"/>
        <v>0</v>
      </c>
      <c r="N128" s="2">
        <f t="shared" ref="N128:N148" si="82">L128+M128</f>
        <v>2580900</v>
      </c>
    </row>
    <row r="129" spans="1:14" ht="25.5" customHeight="1" x14ac:dyDescent="0.25">
      <c r="A129" s="345"/>
      <c r="B129" s="286" t="s">
        <v>95</v>
      </c>
      <c r="C129" s="345"/>
      <c r="D129" s="345"/>
      <c r="E129" s="289">
        <v>851</v>
      </c>
      <c r="F129" s="1" t="s">
        <v>86</v>
      </c>
      <c r="G129" s="1" t="s">
        <v>18</v>
      </c>
      <c r="H129" s="1" t="s">
        <v>726</v>
      </c>
      <c r="I129" s="1" t="s">
        <v>90</v>
      </c>
      <c r="J129" s="2">
        <f t="shared" si="81"/>
        <v>2580900</v>
      </c>
      <c r="K129" s="2">
        <f t="shared" si="81"/>
        <v>0</v>
      </c>
      <c r="L129" s="2">
        <f t="shared" si="38"/>
        <v>2580900</v>
      </c>
      <c r="M129" s="2">
        <f t="shared" si="81"/>
        <v>0</v>
      </c>
      <c r="N129" s="2">
        <f t="shared" si="82"/>
        <v>2580900</v>
      </c>
    </row>
    <row r="130" spans="1:14" ht="37.5" customHeight="1" x14ac:dyDescent="0.25">
      <c r="A130" s="345"/>
      <c r="B130" s="333" t="s">
        <v>91</v>
      </c>
      <c r="C130" s="345"/>
      <c r="D130" s="345"/>
      <c r="E130" s="289">
        <v>851</v>
      </c>
      <c r="F130" s="1" t="s">
        <v>86</v>
      </c>
      <c r="G130" s="1" t="s">
        <v>18</v>
      </c>
      <c r="H130" s="1" t="s">
        <v>726</v>
      </c>
      <c r="I130" s="1" t="s">
        <v>92</v>
      </c>
      <c r="J130" s="2">
        <f>636584+1944239+77</f>
        <v>2580900</v>
      </c>
      <c r="K130" s="2"/>
      <c r="L130" s="2">
        <f t="shared" si="38"/>
        <v>2580900</v>
      </c>
      <c r="M130" s="2"/>
      <c r="N130" s="2">
        <f t="shared" si="82"/>
        <v>2580900</v>
      </c>
    </row>
    <row r="131" spans="1:14" ht="12" customHeight="1" x14ac:dyDescent="0.25">
      <c r="A131" s="552" t="s">
        <v>606</v>
      </c>
      <c r="B131" s="553"/>
      <c r="C131" s="333"/>
      <c r="D131" s="333"/>
      <c r="E131" s="289">
        <v>851</v>
      </c>
      <c r="F131" s="1" t="s">
        <v>86</v>
      </c>
      <c r="G131" s="1" t="s">
        <v>18</v>
      </c>
      <c r="H131" s="1" t="s">
        <v>727</v>
      </c>
      <c r="I131" s="1"/>
      <c r="J131" s="2">
        <f t="shared" ref="J131:M132" si="83">J132</f>
        <v>157900</v>
      </c>
      <c r="K131" s="2">
        <f t="shared" si="83"/>
        <v>0</v>
      </c>
      <c r="L131" s="2">
        <f t="shared" si="38"/>
        <v>157900</v>
      </c>
      <c r="M131" s="2">
        <f t="shared" si="83"/>
        <v>0</v>
      </c>
      <c r="N131" s="2">
        <f t="shared" si="82"/>
        <v>157900</v>
      </c>
    </row>
    <row r="132" spans="1:14" ht="27" customHeight="1" x14ac:dyDescent="0.25">
      <c r="A132" s="333"/>
      <c r="B132" s="286" t="s">
        <v>95</v>
      </c>
      <c r="C132" s="333"/>
      <c r="D132" s="333"/>
      <c r="E132" s="289">
        <v>851</v>
      </c>
      <c r="F132" s="1" t="s">
        <v>86</v>
      </c>
      <c r="G132" s="1" t="s">
        <v>18</v>
      </c>
      <c r="H132" s="1" t="s">
        <v>727</v>
      </c>
      <c r="I132" s="17">
        <v>600</v>
      </c>
      <c r="J132" s="2">
        <f t="shared" si="83"/>
        <v>157900</v>
      </c>
      <c r="K132" s="2">
        <f t="shared" si="83"/>
        <v>0</v>
      </c>
      <c r="L132" s="2">
        <f t="shared" si="38"/>
        <v>157900</v>
      </c>
      <c r="M132" s="2">
        <f t="shared" si="83"/>
        <v>0</v>
      </c>
      <c r="N132" s="2">
        <f t="shared" si="82"/>
        <v>157900</v>
      </c>
    </row>
    <row r="133" spans="1:14" ht="39" customHeight="1" x14ac:dyDescent="0.25">
      <c r="A133" s="333"/>
      <c r="B133" s="333" t="s">
        <v>91</v>
      </c>
      <c r="C133" s="333"/>
      <c r="D133" s="333"/>
      <c r="E133" s="289">
        <v>851</v>
      </c>
      <c r="F133" s="1" t="s">
        <v>86</v>
      </c>
      <c r="G133" s="1" t="s">
        <v>18</v>
      </c>
      <c r="H133" s="1" t="s">
        <v>727</v>
      </c>
      <c r="I133" s="17">
        <v>611</v>
      </c>
      <c r="J133" s="2">
        <f>157664+36+200</f>
        <v>157900</v>
      </c>
      <c r="K133" s="2"/>
      <c r="L133" s="2">
        <f t="shared" si="38"/>
        <v>157900</v>
      </c>
      <c r="M133" s="2"/>
      <c r="N133" s="2">
        <f t="shared" si="82"/>
        <v>157900</v>
      </c>
    </row>
    <row r="134" spans="1:14" ht="38.25" customHeight="1" x14ac:dyDescent="0.25">
      <c r="A134" s="583" t="s">
        <v>608</v>
      </c>
      <c r="B134" s="583"/>
      <c r="C134" s="333"/>
      <c r="D134" s="333"/>
      <c r="E134" s="289">
        <v>851</v>
      </c>
      <c r="F134" s="1" t="s">
        <v>86</v>
      </c>
      <c r="G134" s="1" t="s">
        <v>18</v>
      </c>
      <c r="H134" s="1" t="s">
        <v>728</v>
      </c>
      <c r="I134" s="17"/>
      <c r="J134" s="2">
        <f t="shared" ref="J134:M135" si="84">J135</f>
        <v>8947680</v>
      </c>
      <c r="K134" s="2">
        <f t="shared" si="84"/>
        <v>0</v>
      </c>
      <c r="L134" s="2">
        <f t="shared" si="38"/>
        <v>8947680</v>
      </c>
      <c r="M134" s="2">
        <f t="shared" si="84"/>
        <v>0</v>
      </c>
      <c r="N134" s="2">
        <f t="shared" si="82"/>
        <v>8947680</v>
      </c>
    </row>
    <row r="135" spans="1:14" ht="24" customHeight="1" x14ac:dyDescent="0.25">
      <c r="A135" s="333"/>
      <c r="B135" s="286" t="s">
        <v>95</v>
      </c>
      <c r="C135" s="333"/>
      <c r="D135" s="333"/>
      <c r="E135" s="289">
        <v>851</v>
      </c>
      <c r="F135" s="1" t="s">
        <v>86</v>
      </c>
      <c r="G135" s="1" t="s">
        <v>18</v>
      </c>
      <c r="H135" s="1" t="s">
        <v>728</v>
      </c>
      <c r="I135" s="17">
        <v>600</v>
      </c>
      <c r="J135" s="2">
        <f t="shared" si="84"/>
        <v>8947680</v>
      </c>
      <c r="K135" s="2">
        <f t="shared" si="84"/>
        <v>0</v>
      </c>
      <c r="L135" s="2">
        <f t="shared" si="38"/>
        <v>8947680</v>
      </c>
      <c r="M135" s="2">
        <f t="shared" si="84"/>
        <v>0</v>
      </c>
      <c r="N135" s="2">
        <f t="shared" si="82"/>
        <v>8947680</v>
      </c>
    </row>
    <row r="136" spans="1:14" ht="40.5" customHeight="1" x14ac:dyDescent="0.25">
      <c r="A136" s="333"/>
      <c r="B136" s="333" t="s">
        <v>91</v>
      </c>
      <c r="C136" s="333"/>
      <c r="D136" s="333"/>
      <c r="E136" s="289">
        <v>851</v>
      </c>
      <c r="F136" s="1" t="s">
        <v>86</v>
      </c>
      <c r="G136" s="1" t="s">
        <v>18</v>
      </c>
      <c r="H136" s="1" t="s">
        <v>728</v>
      </c>
      <c r="I136" s="17">
        <v>611</v>
      </c>
      <c r="J136" s="2">
        <f>22260+28620+8896800</f>
        <v>8947680</v>
      </c>
      <c r="K136" s="2"/>
      <c r="L136" s="2">
        <f t="shared" si="38"/>
        <v>8947680</v>
      </c>
      <c r="M136" s="2"/>
      <c r="N136" s="2">
        <f t="shared" si="82"/>
        <v>8947680</v>
      </c>
    </row>
    <row r="137" spans="1:14" ht="38.25" customHeight="1" x14ac:dyDescent="0.25">
      <c r="A137" s="583" t="s">
        <v>609</v>
      </c>
      <c r="B137" s="583"/>
      <c r="C137" s="333"/>
      <c r="D137" s="333"/>
      <c r="E137" s="289">
        <v>851</v>
      </c>
      <c r="F137" s="1" t="s">
        <v>86</v>
      </c>
      <c r="G137" s="1" t="s">
        <v>18</v>
      </c>
      <c r="H137" s="1" t="s">
        <v>729</v>
      </c>
      <c r="I137" s="17"/>
      <c r="J137" s="2">
        <f t="shared" ref="J137:M138" si="85">J138</f>
        <v>2860620</v>
      </c>
      <c r="K137" s="2">
        <f t="shared" si="85"/>
        <v>0</v>
      </c>
      <c r="L137" s="2">
        <f t="shared" si="38"/>
        <v>2860620</v>
      </c>
      <c r="M137" s="2">
        <f t="shared" si="85"/>
        <v>0</v>
      </c>
      <c r="N137" s="2">
        <f t="shared" si="82"/>
        <v>2860620</v>
      </c>
    </row>
    <row r="138" spans="1:14" ht="24.75" customHeight="1" x14ac:dyDescent="0.25">
      <c r="A138" s="333"/>
      <c r="B138" s="286" t="s">
        <v>95</v>
      </c>
      <c r="C138" s="333"/>
      <c r="D138" s="333"/>
      <c r="E138" s="289">
        <v>851</v>
      </c>
      <c r="F138" s="1" t="s">
        <v>86</v>
      </c>
      <c r="G138" s="1" t="s">
        <v>18</v>
      </c>
      <c r="H138" s="1" t="s">
        <v>729</v>
      </c>
      <c r="I138" s="17">
        <v>600</v>
      </c>
      <c r="J138" s="2">
        <f t="shared" si="85"/>
        <v>2860620</v>
      </c>
      <c r="K138" s="2">
        <f t="shared" si="85"/>
        <v>0</v>
      </c>
      <c r="L138" s="2">
        <f t="shared" si="38"/>
        <v>2860620</v>
      </c>
      <c r="M138" s="2">
        <f t="shared" si="85"/>
        <v>0</v>
      </c>
      <c r="N138" s="2">
        <f t="shared" si="82"/>
        <v>2860620</v>
      </c>
    </row>
    <row r="139" spans="1:14" ht="38.25" customHeight="1" x14ac:dyDescent="0.25">
      <c r="A139" s="333"/>
      <c r="B139" s="333" t="s">
        <v>91</v>
      </c>
      <c r="C139" s="333"/>
      <c r="D139" s="333"/>
      <c r="E139" s="289">
        <v>851</v>
      </c>
      <c r="F139" s="1" t="s">
        <v>86</v>
      </c>
      <c r="G139" s="1" t="s">
        <v>18</v>
      </c>
      <c r="H139" s="1" t="s">
        <v>729</v>
      </c>
      <c r="I139" s="17">
        <v>611</v>
      </c>
      <c r="J139" s="2">
        <f>2816100+44520</f>
        <v>2860620</v>
      </c>
      <c r="K139" s="2">
        <v>0</v>
      </c>
      <c r="L139" s="2">
        <f t="shared" si="38"/>
        <v>2860620</v>
      </c>
      <c r="M139" s="2">
        <v>0</v>
      </c>
      <c r="N139" s="2">
        <f t="shared" si="82"/>
        <v>2860620</v>
      </c>
    </row>
    <row r="140" spans="1:14" ht="39" customHeight="1" x14ac:dyDescent="0.25">
      <c r="A140" s="583" t="s">
        <v>88</v>
      </c>
      <c r="B140" s="583"/>
      <c r="C140" s="333"/>
      <c r="D140" s="333"/>
      <c r="E140" s="289">
        <v>851</v>
      </c>
      <c r="F140" s="1" t="s">
        <v>86</v>
      </c>
      <c r="G140" s="1" t="s">
        <v>18</v>
      </c>
      <c r="H140" s="1" t="s">
        <v>730</v>
      </c>
      <c r="I140" s="1"/>
      <c r="J140" s="2">
        <f t="shared" ref="J140:M141" si="86">J141</f>
        <v>9540</v>
      </c>
      <c r="K140" s="2">
        <f t="shared" si="86"/>
        <v>0</v>
      </c>
      <c r="L140" s="2">
        <f t="shared" si="38"/>
        <v>9540</v>
      </c>
      <c r="M140" s="2">
        <f t="shared" si="86"/>
        <v>0</v>
      </c>
      <c r="N140" s="2">
        <f t="shared" si="82"/>
        <v>9540</v>
      </c>
    </row>
    <row r="141" spans="1:14" ht="24" customHeight="1" x14ac:dyDescent="0.25">
      <c r="A141" s="333"/>
      <c r="B141" s="286" t="s">
        <v>95</v>
      </c>
      <c r="C141" s="333"/>
      <c r="D141" s="333"/>
      <c r="E141" s="289">
        <v>851</v>
      </c>
      <c r="F141" s="1" t="s">
        <v>86</v>
      </c>
      <c r="G141" s="1" t="s">
        <v>18</v>
      </c>
      <c r="H141" s="1" t="s">
        <v>730</v>
      </c>
      <c r="I141" s="1" t="s">
        <v>90</v>
      </c>
      <c r="J141" s="2">
        <f t="shared" si="86"/>
        <v>9540</v>
      </c>
      <c r="K141" s="2">
        <f t="shared" si="86"/>
        <v>0</v>
      </c>
      <c r="L141" s="2">
        <f t="shared" si="38"/>
        <v>9540</v>
      </c>
      <c r="M141" s="2">
        <f t="shared" si="86"/>
        <v>0</v>
      </c>
      <c r="N141" s="2">
        <f t="shared" si="82"/>
        <v>9540</v>
      </c>
    </row>
    <row r="142" spans="1:14" ht="38.25" customHeight="1" x14ac:dyDescent="0.25">
      <c r="A142" s="333"/>
      <c r="B142" s="333" t="s">
        <v>91</v>
      </c>
      <c r="C142" s="333"/>
      <c r="D142" s="333"/>
      <c r="E142" s="289">
        <v>851</v>
      </c>
      <c r="F142" s="1" t="s">
        <v>86</v>
      </c>
      <c r="G142" s="1" t="s">
        <v>18</v>
      </c>
      <c r="H142" s="1" t="s">
        <v>730</v>
      </c>
      <c r="I142" s="1" t="s">
        <v>92</v>
      </c>
      <c r="J142" s="2">
        <v>9540</v>
      </c>
      <c r="K142" s="2"/>
      <c r="L142" s="2">
        <f t="shared" si="38"/>
        <v>9540</v>
      </c>
      <c r="M142" s="2"/>
      <c r="N142" s="2">
        <f t="shared" si="82"/>
        <v>9540</v>
      </c>
    </row>
    <row r="143" spans="1:14" ht="25.5" customHeight="1" x14ac:dyDescent="0.25">
      <c r="A143" s="583" t="s">
        <v>98</v>
      </c>
      <c r="B143" s="583"/>
      <c r="C143" s="333"/>
      <c r="D143" s="333"/>
      <c r="E143" s="289">
        <v>851</v>
      </c>
      <c r="F143" s="1" t="s">
        <v>86</v>
      </c>
      <c r="G143" s="1" t="s">
        <v>18</v>
      </c>
      <c r="H143" s="1" t="s">
        <v>731</v>
      </c>
      <c r="I143" s="1"/>
      <c r="J143" s="2">
        <f t="shared" ref="J143:M144" si="87">J144</f>
        <v>100000</v>
      </c>
      <c r="K143" s="2">
        <f t="shared" si="87"/>
        <v>0</v>
      </c>
      <c r="L143" s="2">
        <f t="shared" si="38"/>
        <v>100000</v>
      </c>
      <c r="M143" s="2">
        <f t="shared" si="87"/>
        <v>0</v>
      </c>
      <c r="N143" s="2">
        <f t="shared" si="82"/>
        <v>100000</v>
      </c>
    </row>
    <row r="144" spans="1:14" ht="15" customHeight="1" x14ac:dyDescent="0.25">
      <c r="A144" s="17"/>
      <c r="B144" s="333" t="s">
        <v>28</v>
      </c>
      <c r="C144" s="332"/>
      <c r="D144" s="332"/>
      <c r="E144" s="289">
        <v>851</v>
      </c>
      <c r="F144" s="1" t="s">
        <v>86</v>
      </c>
      <c r="G144" s="1" t="s">
        <v>18</v>
      </c>
      <c r="H144" s="1" t="s">
        <v>731</v>
      </c>
      <c r="I144" s="1" t="s">
        <v>29</v>
      </c>
      <c r="J144" s="2">
        <f t="shared" si="87"/>
        <v>100000</v>
      </c>
      <c r="K144" s="2">
        <f t="shared" si="87"/>
        <v>0</v>
      </c>
      <c r="L144" s="2">
        <f t="shared" si="38"/>
        <v>100000</v>
      </c>
      <c r="M144" s="2">
        <f t="shared" si="87"/>
        <v>0</v>
      </c>
      <c r="N144" s="2">
        <f t="shared" si="82"/>
        <v>100000</v>
      </c>
    </row>
    <row r="145" spans="1:14" ht="24" customHeight="1" x14ac:dyDescent="0.25">
      <c r="A145" s="17"/>
      <c r="B145" s="333" t="s">
        <v>30</v>
      </c>
      <c r="C145" s="333"/>
      <c r="D145" s="333"/>
      <c r="E145" s="289">
        <v>851</v>
      </c>
      <c r="F145" s="1" t="s">
        <v>86</v>
      </c>
      <c r="G145" s="1" t="s">
        <v>18</v>
      </c>
      <c r="H145" s="1" t="s">
        <v>731</v>
      </c>
      <c r="I145" s="1" t="s">
        <v>31</v>
      </c>
      <c r="J145" s="2">
        <v>100000</v>
      </c>
      <c r="K145" s="2"/>
      <c r="L145" s="2">
        <f t="shared" si="38"/>
        <v>100000</v>
      </c>
      <c r="M145" s="2"/>
      <c r="N145" s="2">
        <f t="shared" si="82"/>
        <v>100000</v>
      </c>
    </row>
    <row r="146" spans="1:14" x14ac:dyDescent="0.25">
      <c r="A146" s="583" t="s">
        <v>100</v>
      </c>
      <c r="B146" s="583"/>
      <c r="C146" s="333"/>
      <c r="D146" s="333"/>
      <c r="E146" s="289">
        <v>851</v>
      </c>
      <c r="F146" s="1" t="s">
        <v>86</v>
      </c>
      <c r="G146" s="1" t="s">
        <v>18</v>
      </c>
      <c r="H146" s="1" t="s">
        <v>732</v>
      </c>
      <c r="I146" s="1"/>
      <c r="J146" s="2">
        <f>J147</f>
        <v>200000</v>
      </c>
      <c r="K146" s="2">
        <f>K147</f>
        <v>605000</v>
      </c>
      <c r="L146" s="2">
        <f t="shared" si="38"/>
        <v>805000</v>
      </c>
      <c r="M146" s="2">
        <f>M147</f>
        <v>0</v>
      </c>
      <c r="N146" s="2">
        <f t="shared" si="82"/>
        <v>805000</v>
      </c>
    </row>
    <row r="147" spans="1:14" ht="15" customHeight="1" x14ac:dyDescent="0.25">
      <c r="A147" s="17"/>
      <c r="B147" s="333" t="s">
        <v>28</v>
      </c>
      <c r="C147" s="332"/>
      <c r="D147" s="332"/>
      <c r="E147" s="289">
        <v>851</v>
      </c>
      <c r="F147" s="1" t="s">
        <v>86</v>
      </c>
      <c r="G147" s="1" t="s">
        <v>18</v>
      </c>
      <c r="H147" s="1" t="s">
        <v>732</v>
      </c>
      <c r="I147" s="1" t="s">
        <v>29</v>
      </c>
      <c r="J147" s="2">
        <f t="shared" ref="J147:M147" si="88">J148</f>
        <v>200000</v>
      </c>
      <c r="K147" s="2">
        <f t="shared" si="88"/>
        <v>605000</v>
      </c>
      <c r="L147" s="2">
        <f t="shared" si="38"/>
        <v>805000</v>
      </c>
      <c r="M147" s="2">
        <f t="shared" si="88"/>
        <v>0</v>
      </c>
      <c r="N147" s="2">
        <f t="shared" si="82"/>
        <v>805000</v>
      </c>
    </row>
    <row r="148" spans="1:14" ht="24.75" customHeight="1" x14ac:dyDescent="0.25">
      <c r="A148" s="17"/>
      <c r="B148" s="333" t="s">
        <v>30</v>
      </c>
      <c r="C148" s="333"/>
      <c r="D148" s="333"/>
      <c r="E148" s="289">
        <v>851</v>
      </c>
      <c r="F148" s="1" t="s">
        <v>86</v>
      </c>
      <c r="G148" s="1" t="s">
        <v>18</v>
      </c>
      <c r="H148" s="1" t="s">
        <v>732</v>
      </c>
      <c r="I148" s="1" t="s">
        <v>31</v>
      </c>
      <c r="J148" s="2">
        <v>200000</v>
      </c>
      <c r="K148" s="2">
        <f>500000+95000+10000</f>
        <v>605000</v>
      </c>
      <c r="L148" s="2">
        <f t="shared" si="38"/>
        <v>805000</v>
      </c>
      <c r="M148" s="2"/>
      <c r="N148" s="2">
        <f t="shared" si="82"/>
        <v>805000</v>
      </c>
    </row>
    <row r="149" spans="1:14" ht="15.75" customHeight="1" x14ac:dyDescent="0.25">
      <c r="A149" s="589" t="s">
        <v>101</v>
      </c>
      <c r="B149" s="589"/>
      <c r="C149" s="345"/>
      <c r="D149" s="345"/>
      <c r="E149" s="289">
        <v>851</v>
      </c>
      <c r="F149" s="12" t="s">
        <v>86</v>
      </c>
      <c r="G149" s="12" t="s">
        <v>7</v>
      </c>
      <c r="H149" s="12"/>
      <c r="I149" s="12"/>
      <c r="J149" s="25">
        <f t="shared" ref="J149:N149" si="89">J150</f>
        <v>15000</v>
      </c>
      <c r="K149" s="25">
        <f t="shared" si="89"/>
        <v>0</v>
      </c>
      <c r="L149" s="25">
        <f t="shared" si="89"/>
        <v>15000</v>
      </c>
      <c r="M149" s="25">
        <f t="shared" si="89"/>
        <v>0</v>
      </c>
      <c r="N149" s="25">
        <f t="shared" si="89"/>
        <v>15000</v>
      </c>
    </row>
    <row r="150" spans="1:14" x14ac:dyDescent="0.25">
      <c r="A150" s="583" t="s">
        <v>102</v>
      </c>
      <c r="B150" s="583"/>
      <c r="C150" s="333"/>
      <c r="D150" s="333"/>
      <c r="E150" s="289">
        <v>851</v>
      </c>
      <c r="F150" s="1" t="s">
        <v>86</v>
      </c>
      <c r="G150" s="1" t="s">
        <v>7</v>
      </c>
      <c r="H150" s="1" t="s">
        <v>733</v>
      </c>
      <c r="I150" s="1"/>
      <c r="J150" s="2">
        <f t="shared" ref="J150:M151" si="90">J151</f>
        <v>15000</v>
      </c>
      <c r="K150" s="2">
        <f t="shared" si="90"/>
        <v>0</v>
      </c>
      <c r="L150" s="2">
        <f t="shared" si="38"/>
        <v>15000</v>
      </c>
      <c r="M150" s="2">
        <f t="shared" si="90"/>
        <v>0</v>
      </c>
      <c r="N150" s="2">
        <f t="shared" ref="N150:N152" si="91">L150+M150</f>
        <v>15000</v>
      </c>
    </row>
    <row r="151" spans="1:14" ht="11.25" customHeight="1" x14ac:dyDescent="0.25">
      <c r="A151" s="17"/>
      <c r="B151" s="333" t="s">
        <v>28</v>
      </c>
      <c r="C151" s="332"/>
      <c r="D151" s="332"/>
      <c r="E151" s="289">
        <v>851</v>
      </c>
      <c r="F151" s="1" t="s">
        <v>86</v>
      </c>
      <c r="G151" s="1" t="s">
        <v>7</v>
      </c>
      <c r="H151" s="1" t="s">
        <v>733</v>
      </c>
      <c r="I151" s="1" t="s">
        <v>29</v>
      </c>
      <c r="J151" s="2">
        <f t="shared" si="90"/>
        <v>15000</v>
      </c>
      <c r="K151" s="2">
        <f t="shared" si="90"/>
        <v>0</v>
      </c>
      <c r="L151" s="2">
        <f t="shared" si="38"/>
        <v>15000</v>
      </c>
      <c r="M151" s="2">
        <f t="shared" si="90"/>
        <v>0</v>
      </c>
      <c r="N151" s="2">
        <f t="shared" si="91"/>
        <v>15000</v>
      </c>
    </row>
    <row r="152" spans="1:14" ht="23.25" customHeight="1" x14ac:dyDescent="0.25">
      <c r="A152" s="17"/>
      <c r="B152" s="333" t="s">
        <v>30</v>
      </c>
      <c r="C152" s="333"/>
      <c r="D152" s="333"/>
      <c r="E152" s="289">
        <v>851</v>
      </c>
      <c r="F152" s="1" t="s">
        <v>86</v>
      </c>
      <c r="G152" s="1" t="s">
        <v>7</v>
      </c>
      <c r="H152" s="1" t="s">
        <v>733</v>
      </c>
      <c r="I152" s="1" t="s">
        <v>31</v>
      </c>
      <c r="J152" s="2">
        <v>15000</v>
      </c>
      <c r="K152" s="2"/>
      <c r="L152" s="2">
        <f t="shared" si="38"/>
        <v>15000</v>
      </c>
      <c r="M152" s="2"/>
      <c r="N152" s="2">
        <f t="shared" si="91"/>
        <v>15000</v>
      </c>
    </row>
    <row r="153" spans="1:14" x14ac:dyDescent="0.25">
      <c r="A153" s="588" t="s">
        <v>104</v>
      </c>
      <c r="B153" s="588"/>
      <c r="C153" s="341"/>
      <c r="D153" s="341"/>
      <c r="E153" s="289">
        <v>851</v>
      </c>
      <c r="F153" s="7" t="s">
        <v>0</v>
      </c>
      <c r="G153" s="7"/>
      <c r="H153" s="7"/>
      <c r="I153" s="7"/>
      <c r="J153" s="9">
        <f>J154+J158+J162+J166</f>
        <v>11451235</v>
      </c>
      <c r="K153" s="9">
        <f>K154+K158+K162+K166</f>
        <v>0</v>
      </c>
      <c r="L153" s="9">
        <f>L154+L158+L162+L166</f>
        <v>11451235</v>
      </c>
      <c r="M153" s="9">
        <f>M154+M158+M162+M166</f>
        <v>115000</v>
      </c>
      <c r="N153" s="9">
        <f>N154+N158+N162+N166</f>
        <v>11566235</v>
      </c>
    </row>
    <row r="154" spans="1:14" x14ac:dyDescent="0.25">
      <c r="A154" s="589" t="s">
        <v>105</v>
      </c>
      <c r="B154" s="589"/>
      <c r="C154" s="345"/>
      <c r="D154" s="345"/>
      <c r="E154" s="289">
        <v>851</v>
      </c>
      <c r="F154" s="12" t="s">
        <v>0</v>
      </c>
      <c r="G154" s="12" t="s">
        <v>18</v>
      </c>
      <c r="H154" s="12"/>
      <c r="I154" s="12"/>
      <c r="J154" s="14">
        <f t="shared" ref="J154:N155" si="92">J155</f>
        <v>2587000</v>
      </c>
      <c r="K154" s="14">
        <f t="shared" si="92"/>
        <v>0</v>
      </c>
      <c r="L154" s="14">
        <f t="shared" si="92"/>
        <v>2587000</v>
      </c>
      <c r="M154" s="14">
        <f t="shared" si="92"/>
        <v>115000</v>
      </c>
      <c r="N154" s="14">
        <f t="shared" si="92"/>
        <v>2702000</v>
      </c>
    </row>
    <row r="155" spans="1:14" ht="36.75" customHeight="1" x14ac:dyDescent="0.25">
      <c r="A155" s="583" t="s">
        <v>106</v>
      </c>
      <c r="B155" s="583"/>
      <c r="C155" s="333"/>
      <c r="D155" s="333"/>
      <c r="E155" s="289">
        <v>851</v>
      </c>
      <c r="F155" s="1" t="s">
        <v>0</v>
      </c>
      <c r="G155" s="1" t="s">
        <v>18</v>
      </c>
      <c r="H155" s="1" t="s">
        <v>736</v>
      </c>
      <c r="I155" s="1"/>
      <c r="J155" s="2">
        <f t="shared" si="92"/>
        <v>2587000</v>
      </c>
      <c r="K155" s="2">
        <f t="shared" si="92"/>
        <v>0</v>
      </c>
      <c r="L155" s="2">
        <f t="shared" si="38"/>
        <v>2587000</v>
      </c>
      <c r="M155" s="2">
        <f t="shared" si="92"/>
        <v>115000</v>
      </c>
      <c r="N155" s="2">
        <f t="shared" ref="N155:N157" si="93">L155+M155</f>
        <v>2702000</v>
      </c>
    </row>
    <row r="156" spans="1:14" ht="14.25" customHeight="1" x14ac:dyDescent="0.25">
      <c r="A156" s="315"/>
      <c r="B156" s="332" t="s">
        <v>108</v>
      </c>
      <c r="C156" s="332"/>
      <c r="D156" s="332"/>
      <c r="E156" s="289">
        <v>851</v>
      </c>
      <c r="F156" s="1" t="s">
        <v>0</v>
      </c>
      <c r="G156" s="1" t="s">
        <v>18</v>
      </c>
      <c r="H156" s="1" t="s">
        <v>736</v>
      </c>
      <c r="I156" s="1" t="s">
        <v>109</v>
      </c>
      <c r="J156" s="2">
        <f t="shared" ref="J156:M156" si="94">J157</f>
        <v>2587000</v>
      </c>
      <c r="K156" s="2">
        <f t="shared" si="94"/>
        <v>0</v>
      </c>
      <c r="L156" s="2">
        <f t="shared" si="38"/>
        <v>2587000</v>
      </c>
      <c r="M156" s="2">
        <f t="shared" si="94"/>
        <v>115000</v>
      </c>
      <c r="N156" s="2">
        <f t="shared" si="93"/>
        <v>2702000</v>
      </c>
    </row>
    <row r="157" spans="1:14" ht="24.75" customHeight="1" x14ac:dyDescent="0.25">
      <c r="A157" s="315"/>
      <c r="B157" s="332" t="s">
        <v>146</v>
      </c>
      <c r="C157" s="332"/>
      <c r="D157" s="332"/>
      <c r="E157" s="289">
        <v>851</v>
      </c>
      <c r="F157" s="1" t="s">
        <v>0</v>
      </c>
      <c r="G157" s="1" t="s">
        <v>18</v>
      </c>
      <c r="H157" s="1" t="s">
        <v>736</v>
      </c>
      <c r="I157" s="1" t="s">
        <v>110</v>
      </c>
      <c r="J157" s="2">
        <v>2587000</v>
      </c>
      <c r="K157" s="2"/>
      <c r="L157" s="2">
        <f t="shared" si="38"/>
        <v>2587000</v>
      </c>
      <c r="M157" s="2">
        <v>115000</v>
      </c>
      <c r="N157" s="2">
        <f t="shared" si="93"/>
        <v>2702000</v>
      </c>
    </row>
    <row r="158" spans="1:14" x14ac:dyDescent="0.25">
      <c r="A158" s="589" t="s">
        <v>111</v>
      </c>
      <c r="B158" s="589"/>
      <c r="C158" s="335"/>
      <c r="D158" s="335"/>
      <c r="E158" s="289">
        <v>851</v>
      </c>
      <c r="F158" s="12" t="s">
        <v>0</v>
      </c>
      <c r="G158" s="12" t="s">
        <v>4</v>
      </c>
      <c r="H158" s="12"/>
      <c r="I158" s="12"/>
      <c r="J158" s="14">
        <f>J159</f>
        <v>582660</v>
      </c>
      <c r="K158" s="14">
        <f t="shared" ref="K158:N158" si="95">K159</f>
        <v>0</v>
      </c>
      <c r="L158" s="14">
        <f t="shared" si="95"/>
        <v>582660</v>
      </c>
      <c r="M158" s="14">
        <f t="shared" si="95"/>
        <v>0</v>
      </c>
      <c r="N158" s="14">
        <f t="shared" si="95"/>
        <v>582660</v>
      </c>
    </row>
    <row r="159" spans="1:14" ht="13.5" customHeight="1" x14ac:dyDescent="0.25">
      <c r="A159" s="591" t="s">
        <v>150</v>
      </c>
      <c r="B159" s="591"/>
      <c r="C159" s="332"/>
      <c r="D159" s="332"/>
      <c r="E159" s="289">
        <v>851</v>
      </c>
      <c r="F159" s="1" t="s">
        <v>0</v>
      </c>
      <c r="G159" s="1" t="s">
        <v>4</v>
      </c>
      <c r="H159" s="1" t="s">
        <v>739</v>
      </c>
      <c r="I159" s="1"/>
      <c r="J159" s="2">
        <f t="shared" ref="J159:M160" si="96">J160</f>
        <v>582660</v>
      </c>
      <c r="K159" s="2">
        <f t="shared" si="96"/>
        <v>0</v>
      </c>
      <c r="L159" s="2">
        <f t="shared" ref="L159:L225" si="97">J159+K159</f>
        <v>582660</v>
      </c>
      <c r="M159" s="2">
        <f t="shared" si="96"/>
        <v>0</v>
      </c>
      <c r="N159" s="2">
        <f t="shared" ref="N159:N161" si="98">L159+M159</f>
        <v>582660</v>
      </c>
    </row>
    <row r="160" spans="1:14" ht="13.5" customHeight="1" x14ac:dyDescent="0.25">
      <c r="A160" s="315"/>
      <c r="B160" s="332" t="s">
        <v>108</v>
      </c>
      <c r="C160" s="332"/>
      <c r="D160" s="332"/>
      <c r="E160" s="289">
        <v>851</v>
      </c>
      <c r="F160" s="1" t="s">
        <v>0</v>
      </c>
      <c r="G160" s="1" t="s">
        <v>4</v>
      </c>
      <c r="H160" s="1" t="s">
        <v>739</v>
      </c>
      <c r="I160" s="1" t="s">
        <v>109</v>
      </c>
      <c r="J160" s="2">
        <f t="shared" si="96"/>
        <v>582660</v>
      </c>
      <c r="K160" s="2">
        <f t="shared" si="96"/>
        <v>0</v>
      </c>
      <c r="L160" s="2">
        <f t="shared" si="97"/>
        <v>582660</v>
      </c>
      <c r="M160" s="2">
        <f t="shared" si="96"/>
        <v>0</v>
      </c>
      <c r="N160" s="2">
        <f t="shared" si="98"/>
        <v>582660</v>
      </c>
    </row>
    <row r="161" spans="1:14" ht="13.5" customHeight="1" x14ac:dyDescent="0.25">
      <c r="A161" s="315"/>
      <c r="B161" s="332" t="s">
        <v>152</v>
      </c>
      <c r="C161" s="332"/>
      <c r="D161" s="332"/>
      <c r="E161" s="289">
        <v>851</v>
      </c>
      <c r="F161" s="1" t="s">
        <v>0</v>
      </c>
      <c r="G161" s="1" t="s">
        <v>4</v>
      </c>
      <c r="H161" s="1" t="s">
        <v>739</v>
      </c>
      <c r="I161" s="1" t="s">
        <v>153</v>
      </c>
      <c r="J161" s="2">
        <v>582660</v>
      </c>
      <c r="K161" s="2"/>
      <c r="L161" s="2">
        <f t="shared" si="97"/>
        <v>582660</v>
      </c>
      <c r="M161" s="2"/>
      <c r="N161" s="2">
        <f t="shared" si="98"/>
        <v>582660</v>
      </c>
    </row>
    <row r="162" spans="1:14" x14ac:dyDescent="0.25">
      <c r="A162" s="589" t="s">
        <v>112</v>
      </c>
      <c r="B162" s="589"/>
      <c r="C162" s="345"/>
      <c r="D162" s="345"/>
      <c r="E162" s="289">
        <v>851</v>
      </c>
      <c r="F162" s="12" t="s">
        <v>0</v>
      </c>
      <c r="G162" s="12" t="s">
        <v>7</v>
      </c>
      <c r="H162" s="12"/>
      <c r="I162" s="12"/>
      <c r="J162" s="14">
        <f t="shared" ref="J162:L162" si="99">J164</f>
        <v>8011575</v>
      </c>
      <c r="K162" s="14">
        <f t="shared" si="99"/>
        <v>0</v>
      </c>
      <c r="L162" s="14">
        <f t="shared" si="99"/>
        <v>8011575</v>
      </c>
      <c r="M162" s="14">
        <f t="shared" ref="M162:N162" si="100">M164</f>
        <v>0</v>
      </c>
      <c r="N162" s="14">
        <f t="shared" si="100"/>
        <v>8011575</v>
      </c>
    </row>
    <row r="163" spans="1:14" s="26" customFormat="1" ht="36" customHeight="1" x14ac:dyDescent="0.25">
      <c r="A163" s="583" t="s">
        <v>598</v>
      </c>
      <c r="B163" s="583"/>
      <c r="C163" s="337"/>
      <c r="D163" s="333"/>
      <c r="E163" s="289">
        <v>851</v>
      </c>
      <c r="F163" s="20" t="s">
        <v>0</v>
      </c>
      <c r="G163" s="20" t="s">
        <v>7</v>
      </c>
      <c r="H163" s="20" t="s">
        <v>738</v>
      </c>
      <c r="I163" s="20"/>
      <c r="J163" s="24">
        <f t="shared" ref="J163:M164" si="101">J164</f>
        <v>8011575</v>
      </c>
      <c r="K163" s="24">
        <f t="shared" si="101"/>
        <v>0</v>
      </c>
      <c r="L163" s="2">
        <f t="shared" si="97"/>
        <v>8011575</v>
      </c>
      <c r="M163" s="24">
        <f t="shared" si="101"/>
        <v>0</v>
      </c>
      <c r="N163" s="2">
        <f t="shared" ref="N163:N165" si="102">L163+M163</f>
        <v>8011575</v>
      </c>
    </row>
    <row r="164" spans="1:14" ht="14.25" customHeight="1" x14ac:dyDescent="0.25">
      <c r="A164" s="17"/>
      <c r="B164" s="332" t="s">
        <v>108</v>
      </c>
      <c r="C164" s="337"/>
      <c r="D164" s="337"/>
      <c r="E164" s="289">
        <v>851</v>
      </c>
      <c r="F164" s="20" t="s">
        <v>0</v>
      </c>
      <c r="G164" s="20" t="s">
        <v>7</v>
      </c>
      <c r="H164" s="20" t="s">
        <v>738</v>
      </c>
      <c r="I164" s="1" t="s">
        <v>109</v>
      </c>
      <c r="J164" s="2">
        <f t="shared" si="101"/>
        <v>8011575</v>
      </c>
      <c r="K164" s="2">
        <f t="shared" si="101"/>
        <v>0</v>
      </c>
      <c r="L164" s="2">
        <f t="shared" si="97"/>
        <v>8011575</v>
      </c>
      <c r="M164" s="2">
        <f t="shared" si="101"/>
        <v>0</v>
      </c>
      <c r="N164" s="2">
        <f t="shared" si="102"/>
        <v>8011575</v>
      </c>
    </row>
    <row r="165" spans="1:14" s="26" customFormat="1" ht="24" customHeight="1" x14ac:dyDescent="0.25">
      <c r="A165" s="333"/>
      <c r="B165" s="333" t="s">
        <v>114</v>
      </c>
      <c r="C165" s="337"/>
      <c r="D165" s="337"/>
      <c r="E165" s="289">
        <v>851</v>
      </c>
      <c r="F165" s="20" t="s">
        <v>0</v>
      </c>
      <c r="G165" s="20" t="s">
        <v>7</v>
      </c>
      <c r="H165" s="20" t="s">
        <v>738</v>
      </c>
      <c r="I165" s="20" t="s">
        <v>115</v>
      </c>
      <c r="J165" s="24">
        <v>8011575</v>
      </c>
      <c r="K165" s="24"/>
      <c r="L165" s="2">
        <f t="shared" si="97"/>
        <v>8011575</v>
      </c>
      <c r="M165" s="24"/>
      <c r="N165" s="2">
        <f t="shared" si="102"/>
        <v>8011575</v>
      </c>
    </row>
    <row r="166" spans="1:14" x14ac:dyDescent="0.25">
      <c r="A166" s="589" t="s">
        <v>116</v>
      </c>
      <c r="B166" s="589"/>
      <c r="C166" s="345"/>
      <c r="D166" s="345"/>
      <c r="E166" s="289">
        <v>851</v>
      </c>
      <c r="F166" s="12" t="s">
        <v>0</v>
      </c>
      <c r="G166" s="12" t="s">
        <v>1</v>
      </c>
      <c r="H166" s="12"/>
      <c r="I166" s="12"/>
      <c r="J166" s="14">
        <f t="shared" ref="J166:N166" si="103">J167</f>
        <v>270000</v>
      </c>
      <c r="K166" s="14">
        <f t="shared" si="103"/>
        <v>0</v>
      </c>
      <c r="L166" s="14">
        <f t="shared" si="103"/>
        <v>270000</v>
      </c>
      <c r="M166" s="14">
        <f t="shared" si="103"/>
        <v>0</v>
      </c>
      <c r="N166" s="14">
        <f t="shared" si="103"/>
        <v>270000</v>
      </c>
    </row>
    <row r="167" spans="1:14" x14ac:dyDescent="0.25">
      <c r="A167" s="583" t="s">
        <v>117</v>
      </c>
      <c r="B167" s="583"/>
      <c r="C167" s="333"/>
      <c r="D167" s="333"/>
      <c r="E167" s="289">
        <v>851</v>
      </c>
      <c r="F167" s="1" t="s">
        <v>0</v>
      </c>
      <c r="G167" s="1" t="s">
        <v>1</v>
      </c>
      <c r="H167" s="20" t="s">
        <v>737</v>
      </c>
      <c r="I167" s="1"/>
      <c r="J167" s="2">
        <f t="shared" ref="J167:K167" si="104">J168+J170</f>
        <v>270000</v>
      </c>
      <c r="K167" s="2">
        <f t="shared" si="104"/>
        <v>0</v>
      </c>
      <c r="L167" s="2">
        <f t="shared" si="97"/>
        <v>270000</v>
      </c>
      <c r="M167" s="2">
        <f t="shared" ref="M167" si="105">M168+M170</f>
        <v>0</v>
      </c>
      <c r="N167" s="2">
        <f t="shared" ref="N167:N179" si="106">L167+M167</f>
        <v>270000</v>
      </c>
    </row>
    <row r="168" spans="1:14" ht="12" customHeight="1" x14ac:dyDescent="0.25">
      <c r="A168" s="17"/>
      <c r="B168" s="333" t="s">
        <v>28</v>
      </c>
      <c r="C168" s="332"/>
      <c r="D168" s="332"/>
      <c r="E168" s="289">
        <v>851</v>
      </c>
      <c r="F168" s="20" t="s">
        <v>0</v>
      </c>
      <c r="G168" s="1" t="s">
        <v>1</v>
      </c>
      <c r="H168" s="20" t="s">
        <v>737</v>
      </c>
      <c r="I168" s="1" t="s">
        <v>29</v>
      </c>
      <c r="J168" s="2">
        <f t="shared" ref="J168:M168" si="107">J169</f>
        <v>90000</v>
      </c>
      <c r="K168" s="2">
        <f t="shared" si="107"/>
        <v>0</v>
      </c>
      <c r="L168" s="2">
        <f t="shared" si="97"/>
        <v>90000</v>
      </c>
      <c r="M168" s="2">
        <f t="shared" si="107"/>
        <v>0</v>
      </c>
      <c r="N168" s="2">
        <f t="shared" si="106"/>
        <v>90000</v>
      </c>
    </row>
    <row r="169" spans="1:14" ht="26.25" customHeight="1" x14ac:dyDescent="0.25">
      <c r="A169" s="17"/>
      <c r="B169" s="333" t="s">
        <v>30</v>
      </c>
      <c r="C169" s="333"/>
      <c r="D169" s="333"/>
      <c r="E169" s="289">
        <v>851</v>
      </c>
      <c r="F169" s="20" t="s">
        <v>0</v>
      </c>
      <c r="G169" s="1" t="s">
        <v>1</v>
      </c>
      <c r="H169" s="20" t="s">
        <v>737</v>
      </c>
      <c r="I169" s="1" t="s">
        <v>31</v>
      </c>
      <c r="J169" s="2">
        <v>90000</v>
      </c>
      <c r="K169" s="2"/>
      <c r="L169" s="2">
        <f t="shared" si="97"/>
        <v>90000</v>
      </c>
      <c r="M169" s="2"/>
      <c r="N169" s="2">
        <f t="shared" si="106"/>
        <v>90000</v>
      </c>
    </row>
    <row r="170" spans="1:14" ht="14.25" customHeight="1" x14ac:dyDescent="0.25">
      <c r="A170" s="315"/>
      <c r="B170" s="332" t="s">
        <v>108</v>
      </c>
      <c r="C170" s="332"/>
      <c r="D170" s="332"/>
      <c r="E170" s="289">
        <v>851</v>
      </c>
      <c r="F170" s="1" t="s">
        <v>0</v>
      </c>
      <c r="G170" s="1" t="s">
        <v>1</v>
      </c>
      <c r="H170" s="20" t="s">
        <v>737</v>
      </c>
      <c r="I170" s="1" t="s">
        <v>109</v>
      </c>
      <c r="J170" s="2">
        <f>J171</f>
        <v>180000</v>
      </c>
      <c r="K170" s="2">
        <f>K171</f>
        <v>0</v>
      </c>
      <c r="L170" s="2">
        <f t="shared" si="97"/>
        <v>180000</v>
      </c>
      <c r="M170" s="2">
        <f>M171</f>
        <v>0</v>
      </c>
      <c r="N170" s="2">
        <f t="shared" si="106"/>
        <v>180000</v>
      </c>
    </row>
    <row r="171" spans="1:14" ht="26.25" customHeight="1" x14ac:dyDescent="0.25">
      <c r="A171" s="315"/>
      <c r="B171" s="332" t="s">
        <v>379</v>
      </c>
      <c r="C171" s="332"/>
      <c r="D171" s="332"/>
      <c r="E171" s="289">
        <v>851</v>
      </c>
      <c r="F171" s="1" t="s">
        <v>0</v>
      </c>
      <c r="G171" s="1" t="s">
        <v>1</v>
      </c>
      <c r="H171" s="20" t="s">
        <v>737</v>
      </c>
      <c r="I171" s="1" t="s">
        <v>9</v>
      </c>
      <c r="J171" s="2">
        <v>180000</v>
      </c>
      <c r="K171" s="2"/>
      <c r="L171" s="2">
        <f t="shared" si="97"/>
        <v>180000</v>
      </c>
      <c r="M171" s="2"/>
      <c r="N171" s="2">
        <f t="shared" si="106"/>
        <v>180000</v>
      </c>
    </row>
    <row r="172" spans="1:14" x14ac:dyDescent="0.25">
      <c r="A172" s="588" t="s">
        <v>118</v>
      </c>
      <c r="B172" s="588"/>
      <c r="C172" s="341"/>
      <c r="D172" s="341"/>
      <c r="E172" s="289">
        <v>851</v>
      </c>
      <c r="F172" s="7" t="s">
        <v>39</v>
      </c>
      <c r="G172" s="7"/>
      <c r="H172" s="7"/>
      <c r="I172" s="7"/>
      <c r="J172" s="9">
        <f t="shared" ref="J172:M172" si="108">J173</f>
        <v>544000</v>
      </c>
      <c r="K172" s="9">
        <f t="shared" si="108"/>
        <v>0</v>
      </c>
      <c r="L172" s="2">
        <f t="shared" si="97"/>
        <v>544000</v>
      </c>
      <c r="M172" s="9">
        <f t="shared" si="108"/>
        <v>0</v>
      </c>
      <c r="N172" s="2">
        <f t="shared" si="106"/>
        <v>544000</v>
      </c>
    </row>
    <row r="173" spans="1:14" x14ac:dyDescent="0.25">
      <c r="A173" s="596" t="s">
        <v>119</v>
      </c>
      <c r="B173" s="596"/>
      <c r="C173" s="349"/>
      <c r="D173" s="349"/>
      <c r="E173" s="289">
        <v>851</v>
      </c>
      <c r="F173" s="12" t="s">
        <v>39</v>
      </c>
      <c r="G173" s="12" t="s">
        <v>74</v>
      </c>
      <c r="H173" s="12"/>
      <c r="I173" s="12"/>
      <c r="J173" s="14">
        <f t="shared" ref="J173:K173" si="109">J174+J177</f>
        <v>544000</v>
      </c>
      <c r="K173" s="14">
        <f t="shared" si="109"/>
        <v>0</v>
      </c>
      <c r="L173" s="2">
        <f t="shared" si="97"/>
        <v>544000</v>
      </c>
      <c r="M173" s="14">
        <f t="shared" ref="M173" si="110">M174+M177</f>
        <v>0</v>
      </c>
      <c r="N173" s="2">
        <f t="shared" si="106"/>
        <v>544000</v>
      </c>
    </row>
    <row r="174" spans="1:14" s="27" customFormat="1" x14ac:dyDescent="0.25">
      <c r="A174" s="583" t="s">
        <v>120</v>
      </c>
      <c r="B174" s="583"/>
      <c r="C174" s="333"/>
      <c r="D174" s="333"/>
      <c r="E174" s="289">
        <v>851</v>
      </c>
      <c r="F174" s="1" t="s">
        <v>39</v>
      </c>
      <c r="G174" s="1" t="s">
        <v>74</v>
      </c>
      <c r="H174" s="20" t="s">
        <v>734</v>
      </c>
      <c r="I174" s="1"/>
      <c r="J174" s="2">
        <f t="shared" ref="J174:M174" si="111">J175</f>
        <v>260000</v>
      </c>
      <c r="K174" s="2">
        <f t="shared" si="111"/>
        <v>0</v>
      </c>
      <c r="L174" s="2">
        <f t="shared" si="97"/>
        <v>260000</v>
      </c>
      <c r="M174" s="2">
        <f t="shared" si="111"/>
        <v>0</v>
      </c>
      <c r="N174" s="2">
        <f t="shared" si="106"/>
        <v>260000</v>
      </c>
    </row>
    <row r="175" spans="1:14" ht="15" customHeight="1" x14ac:dyDescent="0.25">
      <c r="A175" s="17"/>
      <c r="B175" s="333" t="s">
        <v>28</v>
      </c>
      <c r="C175" s="332"/>
      <c r="D175" s="332"/>
      <c r="E175" s="289">
        <v>851</v>
      </c>
      <c r="F175" s="1" t="s">
        <v>39</v>
      </c>
      <c r="G175" s="1" t="s">
        <v>74</v>
      </c>
      <c r="H175" s="20" t="s">
        <v>734</v>
      </c>
      <c r="I175" s="1" t="s">
        <v>29</v>
      </c>
      <c r="J175" s="2">
        <f t="shared" ref="J175:M175" si="112">J176</f>
        <v>260000</v>
      </c>
      <c r="K175" s="2">
        <f t="shared" si="112"/>
        <v>0</v>
      </c>
      <c r="L175" s="2">
        <f t="shared" si="97"/>
        <v>260000</v>
      </c>
      <c r="M175" s="2">
        <f t="shared" si="112"/>
        <v>0</v>
      </c>
      <c r="N175" s="2">
        <f t="shared" si="106"/>
        <v>260000</v>
      </c>
    </row>
    <row r="176" spans="1:14" ht="26.25" customHeight="1" x14ac:dyDescent="0.25">
      <c r="A176" s="17"/>
      <c r="B176" s="333" t="s">
        <v>30</v>
      </c>
      <c r="C176" s="333"/>
      <c r="D176" s="333"/>
      <c r="E176" s="289">
        <v>851</v>
      </c>
      <c r="F176" s="1" t="s">
        <v>39</v>
      </c>
      <c r="G176" s="1" t="s">
        <v>74</v>
      </c>
      <c r="H176" s="20" t="s">
        <v>734</v>
      </c>
      <c r="I176" s="1" t="s">
        <v>31</v>
      </c>
      <c r="J176" s="2">
        <v>260000</v>
      </c>
      <c r="K176" s="2"/>
      <c r="L176" s="2">
        <f t="shared" si="97"/>
        <v>260000</v>
      </c>
      <c r="M176" s="2"/>
      <c r="N176" s="2">
        <f t="shared" si="106"/>
        <v>260000</v>
      </c>
    </row>
    <row r="177" spans="1:14" ht="38.25" customHeight="1" x14ac:dyDescent="0.25">
      <c r="A177" s="583" t="s">
        <v>610</v>
      </c>
      <c r="B177" s="583"/>
      <c r="C177" s="349"/>
      <c r="D177" s="349"/>
      <c r="E177" s="289">
        <v>851</v>
      </c>
      <c r="F177" s="1" t="s">
        <v>39</v>
      </c>
      <c r="G177" s="1" t="s">
        <v>74</v>
      </c>
      <c r="H177" s="1" t="s">
        <v>735</v>
      </c>
      <c r="I177" s="1"/>
      <c r="J177" s="2">
        <f t="shared" ref="J177:M178" si="113">J178</f>
        <v>284000</v>
      </c>
      <c r="K177" s="2">
        <f t="shared" si="113"/>
        <v>0</v>
      </c>
      <c r="L177" s="2">
        <f t="shared" si="97"/>
        <v>284000</v>
      </c>
      <c r="M177" s="2">
        <f t="shared" si="113"/>
        <v>0</v>
      </c>
      <c r="N177" s="2">
        <f t="shared" si="106"/>
        <v>284000</v>
      </c>
    </row>
    <row r="178" spans="1:14" ht="14.25" customHeight="1" x14ac:dyDescent="0.25">
      <c r="A178" s="17"/>
      <c r="B178" s="333" t="s">
        <v>28</v>
      </c>
      <c r="C178" s="349"/>
      <c r="D178" s="349"/>
      <c r="E178" s="289">
        <v>851</v>
      </c>
      <c r="F178" s="1" t="s">
        <v>39</v>
      </c>
      <c r="G178" s="1" t="s">
        <v>74</v>
      </c>
      <c r="H178" s="1" t="s">
        <v>735</v>
      </c>
      <c r="I178" s="1" t="s">
        <v>29</v>
      </c>
      <c r="J178" s="2">
        <f t="shared" si="113"/>
        <v>284000</v>
      </c>
      <c r="K178" s="2">
        <f t="shared" si="113"/>
        <v>0</v>
      </c>
      <c r="L178" s="2">
        <f t="shared" si="97"/>
        <v>284000</v>
      </c>
      <c r="M178" s="2">
        <f t="shared" si="113"/>
        <v>0</v>
      </c>
      <c r="N178" s="2">
        <f t="shared" si="106"/>
        <v>284000</v>
      </c>
    </row>
    <row r="179" spans="1:14" ht="25.5" customHeight="1" x14ac:dyDescent="0.25">
      <c r="A179" s="17"/>
      <c r="B179" s="333" t="s">
        <v>30</v>
      </c>
      <c r="C179" s="349"/>
      <c r="D179" s="349"/>
      <c r="E179" s="289">
        <v>851</v>
      </c>
      <c r="F179" s="1" t="s">
        <v>39</v>
      </c>
      <c r="G179" s="1" t="s">
        <v>74</v>
      </c>
      <c r="H179" s="1" t="s">
        <v>735</v>
      </c>
      <c r="I179" s="1" t="s">
        <v>31</v>
      </c>
      <c r="J179" s="2">
        <v>284000</v>
      </c>
      <c r="K179" s="2"/>
      <c r="L179" s="2">
        <f t="shared" si="97"/>
        <v>284000</v>
      </c>
      <c r="M179" s="2"/>
      <c r="N179" s="2">
        <f t="shared" si="106"/>
        <v>284000</v>
      </c>
    </row>
    <row r="180" spans="1:14" ht="27" customHeight="1" x14ac:dyDescent="0.25">
      <c r="A180" s="593" t="s">
        <v>122</v>
      </c>
      <c r="B180" s="593"/>
      <c r="C180" s="350"/>
      <c r="D180" s="350"/>
      <c r="E180" s="350">
        <v>852</v>
      </c>
      <c r="F180" s="20"/>
      <c r="G180" s="20"/>
      <c r="H180" s="20"/>
      <c r="I180" s="1"/>
      <c r="J180" s="9">
        <f>J181+J237</f>
        <v>148946959</v>
      </c>
      <c r="K180" s="9">
        <f>K181+K237</f>
        <v>325480</v>
      </c>
      <c r="L180" s="9">
        <f>L181+L237</f>
        <v>149272439</v>
      </c>
      <c r="M180" s="9">
        <f>M181+M237</f>
        <v>1033500</v>
      </c>
      <c r="N180" s="9">
        <f>N181+N237</f>
        <v>150305939</v>
      </c>
    </row>
    <row r="181" spans="1:14" s="11" customFormat="1" x14ac:dyDescent="0.25">
      <c r="A181" s="588" t="s">
        <v>80</v>
      </c>
      <c r="B181" s="588"/>
      <c r="C181" s="341"/>
      <c r="D181" s="341"/>
      <c r="E181" s="289">
        <v>852</v>
      </c>
      <c r="F181" s="7" t="s">
        <v>37</v>
      </c>
      <c r="G181" s="7"/>
      <c r="H181" s="7"/>
      <c r="I181" s="7"/>
      <c r="J181" s="9">
        <f>J182+J195+J217+J221</f>
        <v>139714123</v>
      </c>
      <c r="K181" s="9">
        <f>K182+K195+K217+K221</f>
        <v>325480</v>
      </c>
      <c r="L181" s="9">
        <f>L182+L195+L217+L221</f>
        <v>140039603</v>
      </c>
      <c r="M181" s="9">
        <f>M182+M195+M217+M221</f>
        <v>865364</v>
      </c>
      <c r="N181" s="9">
        <f>N182+N195+N217+N221</f>
        <v>140904967</v>
      </c>
    </row>
    <row r="182" spans="1:14" s="15" customFormat="1" x14ac:dyDescent="0.25">
      <c r="A182" s="589" t="s">
        <v>81</v>
      </c>
      <c r="B182" s="589"/>
      <c r="C182" s="345"/>
      <c r="D182" s="345"/>
      <c r="E182" s="289">
        <v>852</v>
      </c>
      <c r="F182" s="12" t="s">
        <v>37</v>
      </c>
      <c r="G182" s="12" t="s">
        <v>18</v>
      </c>
      <c r="H182" s="12"/>
      <c r="I182" s="12"/>
      <c r="J182" s="14">
        <f>J186+J189+J183+J192</f>
        <v>33975927</v>
      </c>
      <c r="K182" s="14">
        <f t="shared" ref="K182:M182" si="114">K186+K189+K183+K192</f>
        <v>0</v>
      </c>
      <c r="L182" s="14">
        <f t="shared" ref="L182:N182" si="115">L186+L189+L183+L192</f>
        <v>33975927</v>
      </c>
      <c r="M182" s="14">
        <f t="shared" si="114"/>
        <v>0</v>
      </c>
      <c r="N182" s="14">
        <f t="shared" si="115"/>
        <v>33975927</v>
      </c>
    </row>
    <row r="183" spans="1:14" s="26" customFormat="1" x14ac:dyDescent="0.25">
      <c r="A183" s="583" t="s">
        <v>126</v>
      </c>
      <c r="B183" s="583"/>
      <c r="C183" s="333"/>
      <c r="D183" s="332"/>
      <c r="E183" s="289">
        <v>852</v>
      </c>
      <c r="F183" s="20" t="s">
        <v>37</v>
      </c>
      <c r="G183" s="20" t="s">
        <v>18</v>
      </c>
      <c r="H183" s="20" t="s">
        <v>127</v>
      </c>
      <c r="I183" s="20"/>
      <c r="J183" s="24">
        <f t="shared" ref="J183:M184" si="116">J184</f>
        <v>11495900</v>
      </c>
      <c r="K183" s="24">
        <f t="shared" si="116"/>
        <v>0</v>
      </c>
      <c r="L183" s="2">
        <f t="shared" si="97"/>
        <v>11495900</v>
      </c>
      <c r="M183" s="24">
        <f t="shared" si="116"/>
        <v>0</v>
      </c>
      <c r="N183" s="2">
        <f t="shared" ref="N183:N194" si="117">L183+M183</f>
        <v>11495900</v>
      </c>
    </row>
    <row r="184" spans="1:14" s="26" customFormat="1" ht="25.5" customHeight="1" x14ac:dyDescent="0.25">
      <c r="A184" s="333"/>
      <c r="B184" s="333" t="s">
        <v>95</v>
      </c>
      <c r="C184" s="333"/>
      <c r="D184" s="333"/>
      <c r="E184" s="289">
        <v>852</v>
      </c>
      <c r="F184" s="20" t="s">
        <v>37</v>
      </c>
      <c r="G184" s="20" t="s">
        <v>18</v>
      </c>
      <c r="H184" s="20" t="s">
        <v>127</v>
      </c>
      <c r="I184" s="20" t="s">
        <v>90</v>
      </c>
      <c r="J184" s="24">
        <f t="shared" si="116"/>
        <v>11495900</v>
      </c>
      <c r="K184" s="24">
        <f t="shared" si="116"/>
        <v>0</v>
      </c>
      <c r="L184" s="2">
        <f t="shared" si="97"/>
        <v>11495900</v>
      </c>
      <c r="M184" s="24">
        <f t="shared" si="116"/>
        <v>0</v>
      </c>
      <c r="N184" s="2">
        <f t="shared" si="117"/>
        <v>11495900</v>
      </c>
    </row>
    <row r="185" spans="1:14" ht="36.75" customHeight="1" x14ac:dyDescent="0.25">
      <c r="A185" s="333"/>
      <c r="B185" s="333" t="s">
        <v>91</v>
      </c>
      <c r="C185" s="333"/>
      <c r="D185" s="333"/>
      <c r="E185" s="289">
        <v>852</v>
      </c>
      <c r="F185" s="1" t="s">
        <v>37</v>
      </c>
      <c r="G185" s="1" t="s">
        <v>18</v>
      </c>
      <c r="H185" s="20" t="s">
        <v>127</v>
      </c>
      <c r="I185" s="1" t="s">
        <v>92</v>
      </c>
      <c r="J185" s="2">
        <f>11396000+99900</f>
        <v>11495900</v>
      </c>
      <c r="K185" s="2"/>
      <c r="L185" s="2">
        <f t="shared" si="97"/>
        <v>11495900</v>
      </c>
      <c r="M185" s="2"/>
      <c r="N185" s="2">
        <f t="shared" si="117"/>
        <v>11495900</v>
      </c>
    </row>
    <row r="186" spans="1:14" s="15" customFormat="1" ht="25.5" customHeight="1" x14ac:dyDescent="0.25">
      <c r="A186" s="595" t="s">
        <v>844</v>
      </c>
      <c r="B186" s="595"/>
      <c r="C186" s="345"/>
      <c r="D186" s="345"/>
      <c r="E186" s="289">
        <v>852</v>
      </c>
      <c r="F186" s="1" t="s">
        <v>37</v>
      </c>
      <c r="G186" s="1" t="s">
        <v>18</v>
      </c>
      <c r="H186" s="1" t="s">
        <v>123</v>
      </c>
      <c r="I186" s="1"/>
      <c r="J186" s="2">
        <f t="shared" ref="J186:M187" si="118">J187</f>
        <v>21495027</v>
      </c>
      <c r="K186" s="2">
        <f t="shared" si="118"/>
        <v>0</v>
      </c>
      <c r="L186" s="2">
        <f t="shared" si="97"/>
        <v>21495027</v>
      </c>
      <c r="M186" s="2">
        <f t="shared" si="118"/>
        <v>0</v>
      </c>
      <c r="N186" s="2">
        <f t="shared" si="117"/>
        <v>21495027</v>
      </c>
    </row>
    <row r="187" spans="1:14" s="15" customFormat="1" ht="24" customHeight="1" x14ac:dyDescent="0.25">
      <c r="A187" s="345"/>
      <c r="B187" s="333" t="s">
        <v>95</v>
      </c>
      <c r="C187" s="345"/>
      <c r="D187" s="345"/>
      <c r="E187" s="289">
        <v>852</v>
      </c>
      <c r="F187" s="1" t="s">
        <v>37</v>
      </c>
      <c r="G187" s="1" t="s">
        <v>18</v>
      </c>
      <c r="H187" s="1" t="s">
        <v>123</v>
      </c>
      <c r="I187" s="1" t="s">
        <v>90</v>
      </c>
      <c r="J187" s="2">
        <f t="shared" si="118"/>
        <v>21495027</v>
      </c>
      <c r="K187" s="2">
        <f t="shared" si="118"/>
        <v>0</v>
      </c>
      <c r="L187" s="2">
        <f t="shared" si="97"/>
        <v>21495027</v>
      </c>
      <c r="M187" s="2">
        <f t="shared" si="118"/>
        <v>0</v>
      </c>
      <c r="N187" s="2">
        <f t="shared" si="117"/>
        <v>21495027</v>
      </c>
    </row>
    <row r="188" spans="1:14" s="15" customFormat="1" ht="36" x14ac:dyDescent="0.25">
      <c r="A188" s="345"/>
      <c r="B188" s="333" t="s">
        <v>91</v>
      </c>
      <c r="C188" s="345"/>
      <c r="D188" s="345"/>
      <c r="E188" s="289">
        <v>852</v>
      </c>
      <c r="F188" s="1" t="s">
        <v>37</v>
      </c>
      <c r="G188" s="1" t="s">
        <v>18</v>
      </c>
      <c r="H188" s="1" t="s">
        <v>123</v>
      </c>
      <c r="I188" s="1" t="s">
        <v>92</v>
      </c>
      <c r="J188" s="2">
        <f>20548915+946112</f>
        <v>21495027</v>
      </c>
      <c r="K188" s="2"/>
      <c r="L188" s="2">
        <f t="shared" si="97"/>
        <v>21495027</v>
      </c>
      <c r="M188" s="2"/>
      <c r="N188" s="2">
        <f t="shared" si="117"/>
        <v>21495027</v>
      </c>
    </row>
    <row r="189" spans="1:14" s="15" customFormat="1" ht="37.5" customHeight="1" x14ac:dyDescent="0.25">
      <c r="A189" s="583" t="s">
        <v>124</v>
      </c>
      <c r="B189" s="583"/>
      <c r="C189" s="345"/>
      <c r="D189" s="345"/>
      <c r="E189" s="289">
        <v>852</v>
      </c>
      <c r="F189" s="1" t="s">
        <v>37</v>
      </c>
      <c r="G189" s="1" t="s">
        <v>18</v>
      </c>
      <c r="H189" s="1" t="s">
        <v>125</v>
      </c>
      <c r="I189" s="1"/>
      <c r="J189" s="2">
        <f t="shared" ref="J189:M190" si="119">J190</f>
        <v>624000</v>
      </c>
      <c r="K189" s="2">
        <f t="shared" si="119"/>
        <v>0</v>
      </c>
      <c r="L189" s="2">
        <f t="shared" si="97"/>
        <v>624000</v>
      </c>
      <c r="M189" s="2">
        <f t="shared" si="119"/>
        <v>0</v>
      </c>
      <c r="N189" s="2">
        <f t="shared" si="117"/>
        <v>624000</v>
      </c>
    </row>
    <row r="190" spans="1:14" s="15" customFormat="1" ht="24" x14ac:dyDescent="0.25">
      <c r="A190" s="345"/>
      <c r="B190" s="333" t="s">
        <v>95</v>
      </c>
      <c r="C190" s="345"/>
      <c r="D190" s="345"/>
      <c r="E190" s="289">
        <v>852</v>
      </c>
      <c r="F190" s="1" t="s">
        <v>37</v>
      </c>
      <c r="G190" s="1" t="s">
        <v>18</v>
      </c>
      <c r="H190" s="1" t="s">
        <v>125</v>
      </c>
      <c r="I190" s="1" t="s">
        <v>90</v>
      </c>
      <c r="J190" s="2">
        <f t="shared" si="119"/>
        <v>624000</v>
      </c>
      <c r="K190" s="2">
        <f t="shared" si="119"/>
        <v>0</v>
      </c>
      <c r="L190" s="2">
        <f t="shared" si="97"/>
        <v>624000</v>
      </c>
      <c r="M190" s="2">
        <f t="shared" si="119"/>
        <v>0</v>
      </c>
      <c r="N190" s="2">
        <f t="shared" si="117"/>
        <v>624000</v>
      </c>
    </row>
    <row r="191" spans="1:14" s="15" customFormat="1" ht="36" x14ac:dyDescent="0.25">
      <c r="A191" s="345"/>
      <c r="B191" s="333" t="s">
        <v>91</v>
      </c>
      <c r="C191" s="345"/>
      <c r="D191" s="345"/>
      <c r="E191" s="289">
        <v>852</v>
      </c>
      <c r="F191" s="1" t="s">
        <v>37</v>
      </c>
      <c r="G191" s="1" t="s">
        <v>18</v>
      </c>
      <c r="H191" s="1" t="s">
        <v>125</v>
      </c>
      <c r="I191" s="1" t="s">
        <v>92</v>
      </c>
      <c r="J191" s="2">
        <v>624000</v>
      </c>
      <c r="K191" s="2"/>
      <c r="L191" s="2">
        <f t="shared" si="97"/>
        <v>624000</v>
      </c>
      <c r="M191" s="2"/>
      <c r="N191" s="2">
        <f t="shared" si="117"/>
        <v>624000</v>
      </c>
    </row>
    <row r="192" spans="1:14" ht="26.25" customHeight="1" x14ac:dyDescent="0.25">
      <c r="A192" s="583" t="s">
        <v>132</v>
      </c>
      <c r="B192" s="583"/>
      <c r="C192" s="333"/>
      <c r="D192" s="333"/>
      <c r="E192" s="289">
        <v>852</v>
      </c>
      <c r="F192" s="20" t="s">
        <v>37</v>
      </c>
      <c r="G192" s="1" t="s">
        <v>18</v>
      </c>
      <c r="H192" s="20" t="s">
        <v>133</v>
      </c>
      <c r="I192" s="1"/>
      <c r="J192" s="2">
        <f t="shared" ref="J192:M193" si="120">J193</f>
        <v>361000</v>
      </c>
      <c r="K192" s="2">
        <f t="shared" si="120"/>
        <v>0</v>
      </c>
      <c r="L192" s="2">
        <f t="shared" si="97"/>
        <v>361000</v>
      </c>
      <c r="M192" s="2">
        <f t="shared" si="120"/>
        <v>0</v>
      </c>
      <c r="N192" s="2">
        <f t="shared" si="117"/>
        <v>361000</v>
      </c>
    </row>
    <row r="193" spans="1:14" ht="24" x14ac:dyDescent="0.25">
      <c r="A193" s="333"/>
      <c r="B193" s="286" t="s">
        <v>95</v>
      </c>
      <c r="C193" s="333"/>
      <c r="D193" s="333"/>
      <c r="E193" s="289">
        <v>852</v>
      </c>
      <c r="F193" s="1" t="s">
        <v>37</v>
      </c>
      <c r="G193" s="1" t="s">
        <v>18</v>
      </c>
      <c r="H193" s="20" t="s">
        <v>133</v>
      </c>
      <c r="I193" s="1" t="s">
        <v>90</v>
      </c>
      <c r="J193" s="2">
        <f t="shared" si="120"/>
        <v>361000</v>
      </c>
      <c r="K193" s="2">
        <f>K194</f>
        <v>0</v>
      </c>
      <c r="L193" s="2">
        <f t="shared" si="97"/>
        <v>361000</v>
      </c>
      <c r="M193" s="2">
        <f>M194</f>
        <v>0</v>
      </c>
      <c r="N193" s="2">
        <f t="shared" si="117"/>
        <v>361000</v>
      </c>
    </row>
    <row r="194" spans="1:14" x14ac:dyDescent="0.25">
      <c r="A194" s="333"/>
      <c r="B194" s="286" t="s">
        <v>130</v>
      </c>
      <c r="C194" s="333"/>
      <c r="D194" s="333"/>
      <c r="E194" s="289">
        <v>852</v>
      </c>
      <c r="F194" s="1" t="s">
        <v>37</v>
      </c>
      <c r="G194" s="1" t="s">
        <v>18</v>
      </c>
      <c r="H194" s="20" t="s">
        <v>133</v>
      </c>
      <c r="I194" s="1" t="s">
        <v>131</v>
      </c>
      <c r="J194" s="2">
        <v>361000</v>
      </c>
      <c r="K194" s="2"/>
      <c r="L194" s="2">
        <f t="shared" si="97"/>
        <v>361000</v>
      </c>
      <c r="M194" s="2"/>
      <c r="N194" s="2">
        <f t="shared" si="117"/>
        <v>361000</v>
      </c>
    </row>
    <row r="195" spans="1:14" s="15" customFormat="1" x14ac:dyDescent="0.25">
      <c r="A195" s="589" t="s">
        <v>84</v>
      </c>
      <c r="B195" s="589"/>
      <c r="C195" s="345"/>
      <c r="D195" s="345"/>
      <c r="E195" s="289">
        <v>852</v>
      </c>
      <c r="F195" s="12" t="s">
        <v>37</v>
      </c>
      <c r="G195" s="12" t="s">
        <v>74</v>
      </c>
      <c r="H195" s="12"/>
      <c r="I195" s="12"/>
      <c r="J195" s="14">
        <f>J196+J199+J202+J205+J208+J211+J214</f>
        <v>93548636</v>
      </c>
      <c r="K195" s="14">
        <f t="shared" ref="K195:L195" si="121">K196+K199+K202+K205+K208+K211+K214</f>
        <v>325480</v>
      </c>
      <c r="L195" s="14">
        <f t="shared" si="121"/>
        <v>93874116</v>
      </c>
      <c r="M195" s="14">
        <f t="shared" ref="M195:N195" si="122">M196+M199+M202+M205+M208+M211+M214</f>
        <v>808050</v>
      </c>
      <c r="N195" s="14">
        <f t="shared" si="122"/>
        <v>94682166</v>
      </c>
    </row>
    <row r="196" spans="1:14" x14ac:dyDescent="0.25">
      <c r="A196" s="583" t="s">
        <v>135</v>
      </c>
      <c r="B196" s="583"/>
      <c r="C196" s="333"/>
      <c r="D196" s="333"/>
      <c r="E196" s="289">
        <v>852</v>
      </c>
      <c r="F196" s="1" t="s">
        <v>37</v>
      </c>
      <c r="G196" s="1" t="s">
        <v>74</v>
      </c>
      <c r="H196" s="1" t="s">
        <v>136</v>
      </c>
      <c r="I196" s="1"/>
      <c r="J196" s="2">
        <f t="shared" ref="J196:M197" si="123">J197</f>
        <v>13985000</v>
      </c>
      <c r="K196" s="2">
        <f t="shared" si="123"/>
        <v>0</v>
      </c>
      <c r="L196" s="2">
        <f t="shared" si="97"/>
        <v>13985000</v>
      </c>
      <c r="M196" s="2">
        <f t="shared" si="123"/>
        <v>-49248</v>
      </c>
      <c r="N196" s="2">
        <f t="shared" ref="N196:N204" si="124">L196+M196</f>
        <v>13935752</v>
      </c>
    </row>
    <row r="197" spans="1:14" ht="24.75" customHeight="1" x14ac:dyDescent="0.25">
      <c r="A197" s="333"/>
      <c r="B197" s="333" t="s">
        <v>95</v>
      </c>
      <c r="C197" s="333"/>
      <c r="D197" s="333"/>
      <c r="E197" s="289">
        <v>852</v>
      </c>
      <c r="F197" s="1" t="s">
        <v>37</v>
      </c>
      <c r="G197" s="20" t="s">
        <v>74</v>
      </c>
      <c r="H197" s="1" t="s">
        <v>136</v>
      </c>
      <c r="I197" s="1" t="s">
        <v>90</v>
      </c>
      <c r="J197" s="2">
        <f t="shared" si="123"/>
        <v>13985000</v>
      </c>
      <c r="K197" s="2">
        <f t="shared" si="123"/>
        <v>0</v>
      </c>
      <c r="L197" s="2">
        <f t="shared" si="97"/>
        <v>13985000</v>
      </c>
      <c r="M197" s="2">
        <f t="shared" si="123"/>
        <v>-49248</v>
      </c>
      <c r="N197" s="2">
        <f t="shared" si="124"/>
        <v>13935752</v>
      </c>
    </row>
    <row r="198" spans="1:14" ht="36" x14ac:dyDescent="0.25">
      <c r="A198" s="333"/>
      <c r="B198" s="333" t="s">
        <v>91</v>
      </c>
      <c r="C198" s="333"/>
      <c r="D198" s="333"/>
      <c r="E198" s="289">
        <v>852</v>
      </c>
      <c r="F198" s="1" t="s">
        <v>37</v>
      </c>
      <c r="G198" s="20" t="s">
        <v>74</v>
      </c>
      <c r="H198" s="1" t="s">
        <v>136</v>
      </c>
      <c r="I198" s="1" t="s">
        <v>92</v>
      </c>
      <c r="J198" s="2">
        <v>13985000</v>
      </c>
      <c r="K198" s="2"/>
      <c r="L198" s="2">
        <f t="shared" si="97"/>
        <v>13985000</v>
      </c>
      <c r="M198" s="2">
        <v>-49248</v>
      </c>
      <c r="N198" s="2">
        <f t="shared" si="124"/>
        <v>13935752</v>
      </c>
    </row>
    <row r="199" spans="1:14" x14ac:dyDescent="0.25">
      <c r="A199" s="583" t="s">
        <v>137</v>
      </c>
      <c r="B199" s="583"/>
      <c r="C199" s="333"/>
      <c r="D199" s="333"/>
      <c r="E199" s="289">
        <v>852</v>
      </c>
      <c r="F199" s="20" t="s">
        <v>37</v>
      </c>
      <c r="G199" s="20" t="s">
        <v>74</v>
      </c>
      <c r="H199" s="20" t="s">
        <v>138</v>
      </c>
      <c r="I199" s="1"/>
      <c r="J199" s="2">
        <f t="shared" ref="J199:M200" si="125">J200</f>
        <v>8331600</v>
      </c>
      <c r="K199" s="2">
        <f t="shared" si="125"/>
        <v>0</v>
      </c>
      <c r="L199" s="2">
        <f t="shared" si="97"/>
        <v>8331600</v>
      </c>
      <c r="M199" s="2">
        <f t="shared" si="125"/>
        <v>0</v>
      </c>
      <c r="N199" s="2">
        <f t="shared" si="124"/>
        <v>8331600</v>
      </c>
    </row>
    <row r="200" spans="1:14" ht="22.5" customHeight="1" x14ac:dyDescent="0.25">
      <c r="A200" s="333"/>
      <c r="B200" s="333" t="s">
        <v>95</v>
      </c>
      <c r="C200" s="333"/>
      <c r="D200" s="333"/>
      <c r="E200" s="289">
        <v>852</v>
      </c>
      <c r="F200" s="1" t="s">
        <v>37</v>
      </c>
      <c r="G200" s="20" t="s">
        <v>74</v>
      </c>
      <c r="H200" s="20" t="s">
        <v>138</v>
      </c>
      <c r="I200" s="1" t="s">
        <v>90</v>
      </c>
      <c r="J200" s="2">
        <f t="shared" si="125"/>
        <v>8331600</v>
      </c>
      <c r="K200" s="2">
        <f t="shared" si="125"/>
        <v>0</v>
      </c>
      <c r="L200" s="2">
        <f t="shared" si="97"/>
        <v>8331600</v>
      </c>
      <c r="M200" s="2">
        <f t="shared" si="125"/>
        <v>0</v>
      </c>
      <c r="N200" s="2">
        <f t="shared" si="124"/>
        <v>8331600</v>
      </c>
    </row>
    <row r="201" spans="1:14" ht="35.25" customHeight="1" x14ac:dyDescent="0.25">
      <c r="A201" s="333"/>
      <c r="B201" s="333" t="s">
        <v>91</v>
      </c>
      <c r="C201" s="333"/>
      <c r="D201" s="333"/>
      <c r="E201" s="289">
        <v>852</v>
      </c>
      <c r="F201" s="1" t="s">
        <v>37</v>
      </c>
      <c r="G201" s="20" t="s">
        <v>74</v>
      </c>
      <c r="H201" s="20" t="s">
        <v>138</v>
      </c>
      <c r="I201" s="1" t="s">
        <v>92</v>
      </c>
      <c r="J201" s="2">
        <v>8331600</v>
      </c>
      <c r="K201" s="2"/>
      <c r="L201" s="2">
        <f t="shared" si="97"/>
        <v>8331600</v>
      </c>
      <c r="M201" s="2"/>
      <c r="N201" s="2">
        <f t="shared" si="124"/>
        <v>8331600</v>
      </c>
    </row>
    <row r="202" spans="1:14" s="15" customFormat="1" ht="36.75" customHeight="1" x14ac:dyDescent="0.25">
      <c r="A202" s="583" t="s">
        <v>845</v>
      </c>
      <c r="B202" s="583"/>
      <c r="C202" s="345"/>
      <c r="D202" s="345"/>
      <c r="E202" s="289">
        <v>852</v>
      </c>
      <c r="F202" s="1" t="s">
        <v>37</v>
      </c>
      <c r="G202" s="1" t="s">
        <v>74</v>
      </c>
      <c r="H202" s="20" t="s">
        <v>140</v>
      </c>
      <c r="I202" s="1"/>
      <c r="J202" s="2">
        <f t="shared" ref="J202:M203" si="126">J203</f>
        <v>66777336</v>
      </c>
      <c r="K202" s="2">
        <f t="shared" si="126"/>
        <v>0</v>
      </c>
      <c r="L202" s="2">
        <f t="shared" si="97"/>
        <v>66777336</v>
      </c>
      <c r="M202" s="2">
        <f t="shared" si="126"/>
        <v>0</v>
      </c>
      <c r="N202" s="2">
        <f t="shared" si="124"/>
        <v>66777336</v>
      </c>
    </row>
    <row r="203" spans="1:14" s="15" customFormat="1" ht="24" customHeight="1" x14ac:dyDescent="0.25">
      <c r="A203" s="333"/>
      <c r="B203" s="333" t="s">
        <v>95</v>
      </c>
      <c r="C203" s="345"/>
      <c r="D203" s="345"/>
      <c r="E203" s="289">
        <v>852</v>
      </c>
      <c r="F203" s="1" t="s">
        <v>37</v>
      </c>
      <c r="G203" s="1" t="s">
        <v>74</v>
      </c>
      <c r="H203" s="1" t="s">
        <v>140</v>
      </c>
      <c r="I203" s="1" t="s">
        <v>90</v>
      </c>
      <c r="J203" s="2">
        <f t="shared" si="126"/>
        <v>66777336</v>
      </c>
      <c r="K203" s="2">
        <f t="shared" si="126"/>
        <v>0</v>
      </c>
      <c r="L203" s="2">
        <f t="shared" si="97"/>
        <v>66777336</v>
      </c>
      <c r="M203" s="2">
        <f t="shared" si="126"/>
        <v>0</v>
      </c>
      <c r="N203" s="2">
        <f t="shared" si="124"/>
        <v>66777336</v>
      </c>
    </row>
    <row r="204" spans="1:14" s="15" customFormat="1" ht="36.75" customHeight="1" x14ac:dyDescent="0.25">
      <c r="A204" s="333"/>
      <c r="B204" s="333" t="s">
        <v>91</v>
      </c>
      <c r="C204" s="345"/>
      <c r="D204" s="345"/>
      <c r="E204" s="289">
        <v>852</v>
      </c>
      <c r="F204" s="1" t="s">
        <v>37</v>
      </c>
      <c r="G204" s="1" t="s">
        <v>74</v>
      </c>
      <c r="H204" s="1" t="s">
        <v>140</v>
      </c>
      <c r="I204" s="1" t="s">
        <v>92</v>
      </c>
      <c r="J204" s="2">
        <v>66777336</v>
      </c>
      <c r="K204" s="2"/>
      <c r="L204" s="2">
        <f t="shared" si="97"/>
        <v>66777336</v>
      </c>
      <c r="M204" s="2"/>
      <c r="N204" s="2">
        <f t="shared" si="124"/>
        <v>66777336</v>
      </c>
    </row>
    <row r="205" spans="1:14" s="15" customFormat="1" ht="13.5" customHeight="1" x14ac:dyDescent="0.25">
      <c r="A205" s="552" t="s">
        <v>807</v>
      </c>
      <c r="B205" s="553"/>
      <c r="C205" s="428"/>
      <c r="D205" s="428"/>
      <c r="E205" s="289">
        <v>852</v>
      </c>
      <c r="F205" s="1" t="s">
        <v>37</v>
      </c>
      <c r="G205" s="20" t="s">
        <v>74</v>
      </c>
      <c r="H205" s="1" t="s">
        <v>808</v>
      </c>
      <c r="I205" s="1"/>
      <c r="J205" s="2">
        <f>J206</f>
        <v>0</v>
      </c>
      <c r="K205" s="2">
        <f t="shared" ref="K205:N206" si="127">K206</f>
        <v>0</v>
      </c>
      <c r="L205" s="2">
        <f t="shared" si="127"/>
        <v>0</v>
      </c>
      <c r="M205" s="2">
        <f t="shared" si="127"/>
        <v>808050</v>
      </c>
      <c r="N205" s="2">
        <f t="shared" si="127"/>
        <v>808050</v>
      </c>
    </row>
    <row r="206" spans="1:14" s="15" customFormat="1" ht="24" customHeight="1" x14ac:dyDescent="0.25">
      <c r="A206" s="426"/>
      <c r="B206" s="426" t="s">
        <v>95</v>
      </c>
      <c r="C206" s="428"/>
      <c r="D206" s="428"/>
      <c r="E206" s="289">
        <v>852</v>
      </c>
      <c r="F206" s="1" t="s">
        <v>37</v>
      </c>
      <c r="G206" s="20" t="s">
        <v>74</v>
      </c>
      <c r="H206" s="1" t="s">
        <v>808</v>
      </c>
      <c r="I206" s="1" t="s">
        <v>90</v>
      </c>
      <c r="J206" s="2">
        <f>J207</f>
        <v>0</v>
      </c>
      <c r="K206" s="2">
        <f t="shared" si="127"/>
        <v>0</v>
      </c>
      <c r="L206" s="2">
        <f t="shared" si="127"/>
        <v>0</v>
      </c>
      <c r="M206" s="2">
        <f t="shared" si="127"/>
        <v>808050</v>
      </c>
      <c r="N206" s="2">
        <f t="shared" si="127"/>
        <v>808050</v>
      </c>
    </row>
    <row r="207" spans="1:14" s="15" customFormat="1" ht="17.25" customHeight="1" x14ac:dyDescent="0.25">
      <c r="A207" s="426"/>
      <c r="B207" s="19" t="s">
        <v>130</v>
      </c>
      <c r="C207" s="428"/>
      <c r="D207" s="428"/>
      <c r="E207" s="289">
        <v>852</v>
      </c>
      <c r="F207" s="1" t="s">
        <v>37</v>
      </c>
      <c r="G207" s="20" t="s">
        <v>74</v>
      </c>
      <c r="H207" s="1" t="s">
        <v>808</v>
      </c>
      <c r="I207" s="1" t="s">
        <v>131</v>
      </c>
      <c r="J207" s="2"/>
      <c r="K207" s="2"/>
      <c r="L207" s="2">
        <f>J207+K207</f>
        <v>0</v>
      </c>
      <c r="M207" s="2">
        <v>808050</v>
      </c>
      <c r="N207" s="2">
        <f>L207+M207</f>
        <v>808050</v>
      </c>
    </row>
    <row r="208" spans="1:14" s="15" customFormat="1" ht="37.5" customHeight="1" x14ac:dyDescent="0.25">
      <c r="A208" s="583" t="s">
        <v>124</v>
      </c>
      <c r="B208" s="583"/>
      <c r="C208" s="345"/>
      <c r="D208" s="345"/>
      <c r="E208" s="289">
        <v>852</v>
      </c>
      <c r="F208" s="1" t="s">
        <v>37</v>
      </c>
      <c r="G208" s="1" t="s">
        <v>74</v>
      </c>
      <c r="H208" s="1" t="s">
        <v>125</v>
      </c>
      <c r="I208" s="1"/>
      <c r="J208" s="2">
        <f t="shared" ref="J208:M209" si="128">J209</f>
        <v>2667200</v>
      </c>
      <c r="K208" s="2">
        <f t="shared" si="128"/>
        <v>0</v>
      </c>
      <c r="L208" s="2">
        <f t="shared" si="97"/>
        <v>2667200</v>
      </c>
      <c r="M208" s="2">
        <f t="shared" si="128"/>
        <v>0</v>
      </c>
      <c r="N208" s="2">
        <f t="shared" ref="N208:N216" si="129">L208+M208</f>
        <v>2667200</v>
      </c>
    </row>
    <row r="209" spans="1:14" s="15" customFormat="1" ht="24.75" customHeight="1" x14ac:dyDescent="0.25">
      <c r="A209" s="345"/>
      <c r="B209" s="286" t="s">
        <v>95</v>
      </c>
      <c r="C209" s="28"/>
      <c r="D209" s="28"/>
      <c r="E209" s="29">
        <v>852</v>
      </c>
      <c r="F209" s="30" t="s">
        <v>37</v>
      </c>
      <c r="G209" s="1" t="s">
        <v>74</v>
      </c>
      <c r="H209" s="30" t="s">
        <v>125</v>
      </c>
      <c r="I209" s="1" t="s">
        <v>90</v>
      </c>
      <c r="J209" s="2">
        <f t="shared" si="128"/>
        <v>2667200</v>
      </c>
      <c r="K209" s="2">
        <f t="shared" si="128"/>
        <v>0</v>
      </c>
      <c r="L209" s="2">
        <f t="shared" si="97"/>
        <v>2667200</v>
      </c>
      <c r="M209" s="2">
        <f t="shared" si="128"/>
        <v>0</v>
      </c>
      <c r="N209" s="2">
        <f t="shared" si="129"/>
        <v>2667200</v>
      </c>
    </row>
    <row r="210" spans="1:14" s="15" customFormat="1" ht="36" customHeight="1" x14ac:dyDescent="0.25">
      <c r="A210" s="345"/>
      <c r="B210" s="333" t="s">
        <v>91</v>
      </c>
      <c r="C210" s="345"/>
      <c r="D210" s="345"/>
      <c r="E210" s="289">
        <v>852</v>
      </c>
      <c r="F210" s="1" t="s">
        <v>37</v>
      </c>
      <c r="G210" s="20" t="s">
        <v>74</v>
      </c>
      <c r="H210" s="1" t="s">
        <v>125</v>
      </c>
      <c r="I210" s="1" t="s">
        <v>92</v>
      </c>
      <c r="J210" s="2">
        <v>2667200</v>
      </c>
      <c r="K210" s="2"/>
      <c r="L210" s="2">
        <f t="shared" si="97"/>
        <v>2667200</v>
      </c>
      <c r="M210" s="2"/>
      <c r="N210" s="2">
        <f t="shared" si="129"/>
        <v>2667200</v>
      </c>
    </row>
    <row r="211" spans="1:14" ht="15" customHeight="1" x14ac:dyDescent="0.25">
      <c r="A211" s="583" t="s">
        <v>128</v>
      </c>
      <c r="B211" s="583"/>
      <c r="C211" s="333"/>
      <c r="D211" s="333"/>
      <c r="E211" s="289">
        <v>852</v>
      </c>
      <c r="F211" s="1" t="s">
        <v>37</v>
      </c>
      <c r="G211" s="20" t="s">
        <v>74</v>
      </c>
      <c r="H211" s="1" t="s">
        <v>129</v>
      </c>
      <c r="I211" s="1"/>
      <c r="J211" s="2">
        <f t="shared" ref="J211:M212" si="130">J212</f>
        <v>1110000</v>
      </c>
      <c r="K211" s="2">
        <f t="shared" si="130"/>
        <v>154200</v>
      </c>
      <c r="L211" s="2">
        <f t="shared" si="97"/>
        <v>1264200</v>
      </c>
      <c r="M211" s="2">
        <f t="shared" si="130"/>
        <v>49248</v>
      </c>
      <c r="N211" s="2">
        <f t="shared" si="129"/>
        <v>1313448</v>
      </c>
    </row>
    <row r="212" spans="1:14" ht="24.75" customHeight="1" x14ac:dyDescent="0.25">
      <c r="A212" s="333"/>
      <c r="B212" s="286" t="s">
        <v>95</v>
      </c>
      <c r="C212" s="333"/>
      <c r="D212" s="333"/>
      <c r="E212" s="289">
        <v>852</v>
      </c>
      <c r="F212" s="1" t="s">
        <v>37</v>
      </c>
      <c r="G212" s="20" t="s">
        <v>74</v>
      </c>
      <c r="H212" s="1" t="s">
        <v>129</v>
      </c>
      <c r="I212" s="1" t="s">
        <v>90</v>
      </c>
      <c r="J212" s="2">
        <f t="shared" si="130"/>
        <v>1110000</v>
      </c>
      <c r="K212" s="2">
        <f t="shared" si="130"/>
        <v>154200</v>
      </c>
      <c r="L212" s="2">
        <f t="shared" si="97"/>
        <v>1264200</v>
      </c>
      <c r="M212" s="2">
        <f t="shared" si="130"/>
        <v>49248</v>
      </c>
      <c r="N212" s="2">
        <f t="shared" si="129"/>
        <v>1313448</v>
      </c>
    </row>
    <row r="213" spans="1:14" x14ac:dyDescent="0.25">
      <c r="A213" s="333"/>
      <c r="B213" s="286" t="s">
        <v>130</v>
      </c>
      <c r="C213" s="333"/>
      <c r="D213" s="333"/>
      <c r="E213" s="289">
        <v>852</v>
      </c>
      <c r="F213" s="1" t="s">
        <v>37</v>
      </c>
      <c r="G213" s="20" t="s">
        <v>74</v>
      </c>
      <c r="H213" s="1" t="s">
        <v>129</v>
      </c>
      <c r="I213" s="1" t="s">
        <v>131</v>
      </c>
      <c r="J213" s="2">
        <f>1110000</f>
        <v>1110000</v>
      </c>
      <c r="K213" s="2">
        <f>121700+32500</f>
        <v>154200</v>
      </c>
      <c r="L213" s="2">
        <f t="shared" si="97"/>
        <v>1264200</v>
      </c>
      <c r="M213" s="2">
        <v>49248</v>
      </c>
      <c r="N213" s="2">
        <f t="shared" si="129"/>
        <v>1313448</v>
      </c>
    </row>
    <row r="214" spans="1:14" ht="26.25" customHeight="1" x14ac:dyDescent="0.25">
      <c r="A214" s="583" t="s">
        <v>132</v>
      </c>
      <c r="B214" s="583"/>
      <c r="C214" s="333"/>
      <c r="D214" s="333"/>
      <c r="E214" s="289">
        <v>852</v>
      </c>
      <c r="F214" s="20" t="s">
        <v>37</v>
      </c>
      <c r="G214" s="20" t="s">
        <v>74</v>
      </c>
      <c r="H214" s="20" t="s">
        <v>133</v>
      </c>
      <c r="I214" s="1"/>
      <c r="J214" s="2">
        <f t="shared" ref="J214:M215" si="131">J215</f>
        <v>677500</v>
      </c>
      <c r="K214" s="2">
        <f t="shared" si="131"/>
        <v>171280</v>
      </c>
      <c r="L214" s="2">
        <f t="shared" si="97"/>
        <v>848780</v>
      </c>
      <c r="M214" s="2">
        <f t="shared" si="131"/>
        <v>0</v>
      </c>
      <c r="N214" s="2">
        <f t="shared" si="129"/>
        <v>848780</v>
      </c>
    </row>
    <row r="215" spans="1:14" ht="27" customHeight="1" x14ac:dyDescent="0.25">
      <c r="A215" s="333"/>
      <c r="B215" s="286" t="s">
        <v>95</v>
      </c>
      <c r="C215" s="333"/>
      <c r="D215" s="333"/>
      <c r="E215" s="289">
        <v>852</v>
      </c>
      <c r="F215" s="1" t="s">
        <v>37</v>
      </c>
      <c r="G215" s="20" t="s">
        <v>74</v>
      </c>
      <c r="H215" s="20" t="s">
        <v>133</v>
      </c>
      <c r="I215" s="1" t="s">
        <v>90</v>
      </c>
      <c r="J215" s="2">
        <f t="shared" si="131"/>
        <v>677500</v>
      </c>
      <c r="K215" s="2">
        <f t="shared" si="131"/>
        <v>171280</v>
      </c>
      <c r="L215" s="2">
        <f t="shared" si="97"/>
        <v>848780</v>
      </c>
      <c r="M215" s="2">
        <f t="shared" si="131"/>
        <v>0</v>
      </c>
      <c r="N215" s="2">
        <f t="shared" si="129"/>
        <v>848780</v>
      </c>
    </row>
    <row r="216" spans="1:14" x14ac:dyDescent="0.25">
      <c r="A216" s="333"/>
      <c r="B216" s="286" t="s">
        <v>130</v>
      </c>
      <c r="C216" s="333"/>
      <c r="D216" s="333"/>
      <c r="E216" s="289">
        <v>852</v>
      </c>
      <c r="F216" s="1" t="s">
        <v>37</v>
      </c>
      <c r="G216" s="20" t="s">
        <v>74</v>
      </c>
      <c r="H216" s="20" t="s">
        <v>133</v>
      </c>
      <c r="I216" s="1" t="s">
        <v>131</v>
      </c>
      <c r="J216" s="2">
        <v>677500</v>
      </c>
      <c r="K216" s="2">
        <v>171280</v>
      </c>
      <c r="L216" s="2">
        <f t="shared" si="97"/>
        <v>848780</v>
      </c>
      <c r="M216" s="2"/>
      <c r="N216" s="2">
        <f t="shared" si="129"/>
        <v>848780</v>
      </c>
    </row>
    <row r="217" spans="1:14" x14ac:dyDescent="0.25">
      <c r="A217" s="589" t="s">
        <v>141</v>
      </c>
      <c r="B217" s="589"/>
      <c r="C217" s="345"/>
      <c r="D217" s="345"/>
      <c r="E217" s="289">
        <v>852</v>
      </c>
      <c r="F217" s="12" t="s">
        <v>37</v>
      </c>
      <c r="G217" s="12" t="s">
        <v>37</v>
      </c>
      <c r="H217" s="12"/>
      <c r="I217" s="12"/>
      <c r="J217" s="14">
        <f t="shared" ref="J217:N218" si="132">J218</f>
        <v>122200</v>
      </c>
      <c r="K217" s="14">
        <f t="shared" si="132"/>
        <v>0</v>
      </c>
      <c r="L217" s="14">
        <f t="shared" si="132"/>
        <v>122200</v>
      </c>
      <c r="M217" s="14">
        <f t="shared" si="132"/>
        <v>0</v>
      </c>
      <c r="N217" s="14">
        <f t="shared" si="132"/>
        <v>122200</v>
      </c>
    </row>
    <row r="218" spans="1:14" ht="26.25" customHeight="1" x14ac:dyDescent="0.25">
      <c r="A218" s="583" t="s">
        <v>142</v>
      </c>
      <c r="B218" s="583"/>
      <c r="C218" s="333"/>
      <c r="D218" s="333"/>
      <c r="E218" s="289">
        <v>852</v>
      </c>
      <c r="F218" s="1" t="s">
        <v>37</v>
      </c>
      <c r="G218" s="1" t="s">
        <v>37</v>
      </c>
      <c r="H218" s="20" t="s">
        <v>557</v>
      </c>
      <c r="I218" s="1"/>
      <c r="J218" s="2">
        <f t="shared" si="132"/>
        <v>122200</v>
      </c>
      <c r="K218" s="2">
        <f t="shared" si="132"/>
        <v>0</v>
      </c>
      <c r="L218" s="2">
        <f t="shared" si="97"/>
        <v>122200</v>
      </c>
      <c r="M218" s="2">
        <f t="shared" si="132"/>
        <v>0</v>
      </c>
      <c r="N218" s="2">
        <f t="shared" ref="N218:N220" si="133">L218+M218</f>
        <v>122200</v>
      </c>
    </row>
    <row r="219" spans="1:14" ht="14.25" customHeight="1" x14ac:dyDescent="0.25">
      <c r="A219" s="17"/>
      <c r="B219" s="333" t="s">
        <v>28</v>
      </c>
      <c r="C219" s="332"/>
      <c r="D219" s="332"/>
      <c r="E219" s="289">
        <v>852</v>
      </c>
      <c r="F219" s="1" t="s">
        <v>37</v>
      </c>
      <c r="G219" s="1" t="s">
        <v>37</v>
      </c>
      <c r="H219" s="20" t="s">
        <v>557</v>
      </c>
      <c r="I219" s="1" t="s">
        <v>29</v>
      </c>
      <c r="J219" s="2">
        <f t="shared" ref="J219:M219" si="134">J220</f>
        <v>122200</v>
      </c>
      <c r="K219" s="2">
        <f t="shared" si="134"/>
        <v>0</v>
      </c>
      <c r="L219" s="2">
        <f t="shared" si="97"/>
        <v>122200</v>
      </c>
      <c r="M219" s="2">
        <f t="shared" si="134"/>
        <v>0</v>
      </c>
      <c r="N219" s="2">
        <f t="shared" si="133"/>
        <v>122200</v>
      </c>
    </row>
    <row r="220" spans="1:14" ht="24" x14ac:dyDescent="0.25">
      <c r="A220" s="17"/>
      <c r="B220" s="333" t="s">
        <v>30</v>
      </c>
      <c r="C220" s="333"/>
      <c r="D220" s="333"/>
      <c r="E220" s="289">
        <v>852</v>
      </c>
      <c r="F220" s="1" t="s">
        <v>37</v>
      </c>
      <c r="G220" s="1" t="s">
        <v>37</v>
      </c>
      <c r="H220" s="20" t="s">
        <v>557</v>
      </c>
      <c r="I220" s="1" t="s">
        <v>31</v>
      </c>
      <c r="J220" s="2">
        <v>122200</v>
      </c>
      <c r="K220" s="2"/>
      <c r="L220" s="2">
        <f t="shared" si="97"/>
        <v>122200</v>
      </c>
      <c r="M220" s="2"/>
      <c r="N220" s="2">
        <f t="shared" si="133"/>
        <v>122200</v>
      </c>
    </row>
    <row r="221" spans="1:14" x14ac:dyDescent="0.25">
      <c r="A221" s="589" t="s">
        <v>143</v>
      </c>
      <c r="B221" s="589"/>
      <c r="C221" s="345"/>
      <c r="D221" s="345"/>
      <c r="E221" s="289">
        <v>852</v>
      </c>
      <c r="F221" s="12" t="s">
        <v>37</v>
      </c>
      <c r="G221" s="12" t="s">
        <v>58</v>
      </c>
      <c r="H221" s="12"/>
      <c r="I221" s="12"/>
      <c r="J221" s="14">
        <f>J222+J225+J234</f>
        <v>12067360</v>
      </c>
      <c r="K221" s="14">
        <f>K222+K225+K234</f>
        <v>0</v>
      </c>
      <c r="L221" s="14">
        <f>L222+L225+L234</f>
        <v>12067360</v>
      </c>
      <c r="M221" s="14">
        <f>M222+M225+M234</f>
        <v>57314</v>
      </c>
      <c r="N221" s="14">
        <f>N222+N225+N234</f>
        <v>12124674</v>
      </c>
    </row>
    <row r="222" spans="1:14" ht="25.5" customHeight="1" x14ac:dyDescent="0.25">
      <c r="A222" s="583" t="s">
        <v>27</v>
      </c>
      <c r="B222" s="583"/>
      <c r="C222" s="289"/>
      <c r="D222" s="289"/>
      <c r="E222" s="289">
        <v>852</v>
      </c>
      <c r="F222" s="1" t="s">
        <v>37</v>
      </c>
      <c r="G222" s="1" t="s">
        <v>58</v>
      </c>
      <c r="H222" s="1" t="s">
        <v>561</v>
      </c>
      <c r="I222" s="1"/>
      <c r="J222" s="2">
        <f t="shared" ref="J222:M223" si="135">J223</f>
        <v>836500</v>
      </c>
      <c r="K222" s="2">
        <f t="shared" si="135"/>
        <v>0</v>
      </c>
      <c r="L222" s="2">
        <f t="shared" si="97"/>
        <v>836500</v>
      </c>
      <c r="M222" s="2">
        <f t="shared" si="135"/>
        <v>0</v>
      </c>
      <c r="N222" s="2">
        <f t="shared" ref="N222:N236" si="136">L222+M222</f>
        <v>836500</v>
      </c>
    </row>
    <row r="223" spans="1:14" ht="36.75" customHeight="1" x14ac:dyDescent="0.25">
      <c r="A223" s="17"/>
      <c r="B223" s="332" t="s">
        <v>22</v>
      </c>
      <c r="C223" s="289"/>
      <c r="D223" s="289"/>
      <c r="E223" s="289">
        <v>852</v>
      </c>
      <c r="F223" s="1" t="s">
        <v>37</v>
      </c>
      <c r="G223" s="1" t="s">
        <v>58</v>
      </c>
      <c r="H223" s="1" t="s">
        <v>561</v>
      </c>
      <c r="I223" s="1" t="s">
        <v>24</v>
      </c>
      <c r="J223" s="2">
        <f t="shared" si="135"/>
        <v>836500</v>
      </c>
      <c r="K223" s="2">
        <f t="shared" si="135"/>
        <v>0</v>
      </c>
      <c r="L223" s="2">
        <f t="shared" si="97"/>
        <v>836500</v>
      </c>
      <c r="M223" s="2">
        <f t="shared" si="135"/>
        <v>0</v>
      </c>
      <c r="N223" s="2">
        <f t="shared" si="136"/>
        <v>836500</v>
      </c>
    </row>
    <row r="224" spans="1:14" ht="15.75" customHeight="1" x14ac:dyDescent="0.25">
      <c r="A224" s="17"/>
      <c r="B224" s="332" t="s">
        <v>25</v>
      </c>
      <c r="C224" s="289"/>
      <c r="D224" s="289"/>
      <c r="E224" s="289">
        <v>852</v>
      </c>
      <c r="F224" s="1" t="s">
        <v>37</v>
      </c>
      <c r="G224" s="1" t="s">
        <v>58</v>
      </c>
      <c r="H224" s="1" t="s">
        <v>561</v>
      </c>
      <c r="I224" s="1" t="s">
        <v>26</v>
      </c>
      <c r="J224" s="2">
        <f>825100+11400</f>
        <v>836500</v>
      </c>
      <c r="K224" s="2"/>
      <c r="L224" s="2">
        <f t="shared" si="97"/>
        <v>836500</v>
      </c>
      <c r="M224" s="2"/>
      <c r="N224" s="2">
        <f t="shared" si="136"/>
        <v>836500</v>
      </c>
    </row>
    <row r="225" spans="1:14" x14ac:dyDescent="0.25">
      <c r="A225" s="583" t="s">
        <v>144</v>
      </c>
      <c r="B225" s="583"/>
      <c r="C225" s="333"/>
      <c r="D225" s="333"/>
      <c r="E225" s="289">
        <v>852</v>
      </c>
      <c r="F225" s="1" t="s">
        <v>37</v>
      </c>
      <c r="G225" s="1" t="s">
        <v>58</v>
      </c>
      <c r="H225" s="1" t="s">
        <v>145</v>
      </c>
      <c r="I225" s="1"/>
      <c r="J225" s="2">
        <f>J226+J228+J230+J232</f>
        <v>9831800</v>
      </c>
      <c r="K225" s="2">
        <f t="shared" ref="K225:M225" si="137">K226+K228+K230+K232</f>
        <v>0</v>
      </c>
      <c r="L225" s="2">
        <f t="shared" si="97"/>
        <v>9831800</v>
      </c>
      <c r="M225" s="2">
        <f t="shared" si="137"/>
        <v>57314</v>
      </c>
      <c r="N225" s="2">
        <f t="shared" si="136"/>
        <v>9889114</v>
      </c>
    </row>
    <row r="226" spans="1:14" ht="36.75" customHeight="1" x14ac:dyDescent="0.25">
      <c r="A226" s="17"/>
      <c r="B226" s="332" t="s">
        <v>22</v>
      </c>
      <c r="C226" s="289"/>
      <c r="D226" s="289"/>
      <c r="E226" s="289">
        <v>852</v>
      </c>
      <c r="F226" s="1" t="s">
        <v>37</v>
      </c>
      <c r="G226" s="1" t="s">
        <v>58</v>
      </c>
      <c r="H226" s="1" t="s">
        <v>145</v>
      </c>
      <c r="I226" s="1" t="s">
        <v>24</v>
      </c>
      <c r="J226" s="2">
        <f t="shared" ref="J226:M226" si="138">J227</f>
        <v>2427300</v>
      </c>
      <c r="K226" s="2">
        <f t="shared" si="138"/>
        <v>0</v>
      </c>
      <c r="L226" s="2">
        <f t="shared" ref="L226:L306" si="139">J226+K226</f>
        <v>2427300</v>
      </c>
      <c r="M226" s="2">
        <f t="shared" si="138"/>
        <v>1824</v>
      </c>
      <c r="N226" s="2">
        <f t="shared" si="136"/>
        <v>2429124</v>
      </c>
    </row>
    <row r="227" spans="1:14" ht="15" customHeight="1" x14ac:dyDescent="0.25">
      <c r="A227" s="17"/>
      <c r="B227" s="332" t="s">
        <v>25</v>
      </c>
      <c r="C227" s="289"/>
      <c r="D227" s="289"/>
      <c r="E227" s="289">
        <v>852</v>
      </c>
      <c r="F227" s="1" t="s">
        <v>37</v>
      </c>
      <c r="G227" s="1" t="s">
        <v>58</v>
      </c>
      <c r="H227" s="1" t="s">
        <v>145</v>
      </c>
      <c r="I227" s="1" t="s">
        <v>26</v>
      </c>
      <c r="J227" s="2">
        <f>1864300+563000</f>
        <v>2427300</v>
      </c>
      <c r="K227" s="2"/>
      <c r="L227" s="2">
        <f t="shared" si="139"/>
        <v>2427300</v>
      </c>
      <c r="M227" s="2">
        <v>1824</v>
      </c>
      <c r="N227" s="2">
        <f t="shared" si="136"/>
        <v>2429124</v>
      </c>
    </row>
    <row r="228" spans="1:14" ht="15" customHeight="1" x14ac:dyDescent="0.25">
      <c r="A228" s="332"/>
      <c r="B228" s="333" t="s">
        <v>28</v>
      </c>
      <c r="C228" s="332"/>
      <c r="D228" s="332"/>
      <c r="E228" s="289">
        <v>852</v>
      </c>
      <c r="F228" s="1" t="s">
        <v>37</v>
      </c>
      <c r="G228" s="1" t="s">
        <v>58</v>
      </c>
      <c r="H228" s="1" t="s">
        <v>145</v>
      </c>
      <c r="I228" s="1" t="s">
        <v>29</v>
      </c>
      <c r="J228" s="2">
        <f t="shared" ref="J228:M230" si="140">J229</f>
        <v>505100</v>
      </c>
      <c r="K228" s="2">
        <f t="shared" si="140"/>
        <v>0</v>
      </c>
      <c r="L228" s="2">
        <f t="shared" si="139"/>
        <v>505100</v>
      </c>
      <c r="M228" s="2">
        <f t="shared" si="140"/>
        <v>-1824</v>
      </c>
      <c r="N228" s="2">
        <f t="shared" si="136"/>
        <v>503276</v>
      </c>
    </row>
    <row r="229" spans="1:14" ht="26.25" customHeight="1" x14ac:dyDescent="0.25">
      <c r="A229" s="332"/>
      <c r="B229" s="333" t="s">
        <v>30</v>
      </c>
      <c r="C229" s="333"/>
      <c r="D229" s="333"/>
      <c r="E229" s="289">
        <v>852</v>
      </c>
      <c r="F229" s="1" t="s">
        <v>37</v>
      </c>
      <c r="G229" s="1" t="s">
        <v>58</v>
      </c>
      <c r="H229" s="1" t="s">
        <v>145</v>
      </c>
      <c r="I229" s="1" t="s">
        <v>31</v>
      </c>
      <c r="J229" s="2">
        <f>2944406-J227-J233-6</f>
        <v>505100</v>
      </c>
      <c r="K229" s="2"/>
      <c r="L229" s="2">
        <f t="shared" si="139"/>
        <v>505100</v>
      </c>
      <c r="M229" s="2">
        <f>-1824</f>
        <v>-1824</v>
      </c>
      <c r="N229" s="2">
        <f t="shared" si="136"/>
        <v>503276</v>
      </c>
    </row>
    <row r="230" spans="1:14" ht="24" customHeight="1" x14ac:dyDescent="0.25">
      <c r="A230" s="333"/>
      <c r="B230" s="333" t="s">
        <v>95</v>
      </c>
      <c r="C230" s="333"/>
      <c r="D230" s="333"/>
      <c r="E230" s="289">
        <v>852</v>
      </c>
      <c r="F230" s="1" t="s">
        <v>37</v>
      </c>
      <c r="G230" s="1" t="s">
        <v>58</v>
      </c>
      <c r="H230" s="1" t="s">
        <v>145</v>
      </c>
      <c r="I230" s="1" t="s">
        <v>90</v>
      </c>
      <c r="J230" s="2">
        <f t="shared" si="140"/>
        <v>6887400</v>
      </c>
      <c r="K230" s="2">
        <f t="shared" si="140"/>
        <v>0</v>
      </c>
      <c r="L230" s="2">
        <f t="shared" si="139"/>
        <v>6887400</v>
      </c>
      <c r="M230" s="2">
        <f t="shared" si="140"/>
        <v>57314</v>
      </c>
      <c r="N230" s="2">
        <f t="shared" si="136"/>
        <v>6944714</v>
      </c>
    </row>
    <row r="231" spans="1:14" ht="36.75" customHeight="1" x14ac:dyDescent="0.25">
      <c r="A231" s="333"/>
      <c r="B231" s="333" t="s">
        <v>91</v>
      </c>
      <c r="C231" s="333"/>
      <c r="D231" s="333"/>
      <c r="E231" s="289">
        <v>852</v>
      </c>
      <c r="F231" s="1" t="s">
        <v>37</v>
      </c>
      <c r="G231" s="1" t="s">
        <v>58</v>
      </c>
      <c r="H231" s="1" t="s">
        <v>145</v>
      </c>
      <c r="I231" s="1" t="s">
        <v>92</v>
      </c>
      <c r="J231" s="2">
        <v>6887400</v>
      </c>
      <c r="K231" s="2"/>
      <c r="L231" s="2">
        <f t="shared" si="139"/>
        <v>6887400</v>
      </c>
      <c r="M231" s="2">
        <v>57314</v>
      </c>
      <c r="N231" s="2">
        <f t="shared" si="136"/>
        <v>6944714</v>
      </c>
    </row>
    <row r="232" spans="1:14" x14ac:dyDescent="0.25">
      <c r="A232" s="333"/>
      <c r="B232" s="333" t="s">
        <v>32</v>
      </c>
      <c r="C232" s="333"/>
      <c r="D232" s="333"/>
      <c r="E232" s="289">
        <v>852</v>
      </c>
      <c r="F232" s="1" t="s">
        <v>37</v>
      </c>
      <c r="G232" s="1" t="s">
        <v>58</v>
      </c>
      <c r="H232" s="1" t="s">
        <v>145</v>
      </c>
      <c r="I232" s="1" t="s">
        <v>33</v>
      </c>
      <c r="J232" s="2">
        <f t="shared" ref="J232:M232" si="141">J233</f>
        <v>12000</v>
      </c>
      <c r="K232" s="2">
        <f t="shared" si="141"/>
        <v>0</v>
      </c>
      <c r="L232" s="2">
        <f t="shared" si="139"/>
        <v>12000</v>
      </c>
      <c r="M232" s="2">
        <f t="shared" si="141"/>
        <v>0</v>
      </c>
      <c r="N232" s="2">
        <f t="shared" si="136"/>
        <v>12000</v>
      </c>
    </row>
    <row r="233" spans="1:14" ht="14.25" customHeight="1" x14ac:dyDescent="0.25">
      <c r="A233" s="333"/>
      <c r="B233" s="333" t="s">
        <v>34</v>
      </c>
      <c r="C233" s="333"/>
      <c r="D233" s="333"/>
      <c r="E233" s="289">
        <v>852</v>
      </c>
      <c r="F233" s="1" t="s">
        <v>37</v>
      </c>
      <c r="G233" s="1" t="s">
        <v>58</v>
      </c>
      <c r="H233" s="1" t="s">
        <v>145</v>
      </c>
      <c r="I233" s="1" t="s">
        <v>35</v>
      </c>
      <c r="J233" s="2">
        <v>12000</v>
      </c>
      <c r="K233" s="2"/>
      <c r="L233" s="2">
        <f t="shared" si="139"/>
        <v>12000</v>
      </c>
      <c r="M233" s="2"/>
      <c r="N233" s="2">
        <f t="shared" si="136"/>
        <v>12000</v>
      </c>
    </row>
    <row r="234" spans="1:14" s="15" customFormat="1" ht="38.25" customHeight="1" x14ac:dyDescent="0.25">
      <c r="A234" s="583" t="s">
        <v>124</v>
      </c>
      <c r="B234" s="583"/>
      <c r="C234" s="345"/>
      <c r="D234" s="345"/>
      <c r="E234" s="289">
        <v>852</v>
      </c>
      <c r="F234" s="1" t="s">
        <v>37</v>
      </c>
      <c r="G234" s="1" t="s">
        <v>58</v>
      </c>
      <c r="H234" s="1" t="s">
        <v>125</v>
      </c>
      <c r="I234" s="1"/>
      <c r="J234" s="2">
        <f>J235</f>
        <v>1399060</v>
      </c>
      <c r="K234" s="2">
        <f>K235</f>
        <v>0</v>
      </c>
      <c r="L234" s="2">
        <f t="shared" si="139"/>
        <v>1399060</v>
      </c>
      <c r="M234" s="2">
        <f>M235</f>
        <v>0</v>
      </c>
      <c r="N234" s="2">
        <f t="shared" si="136"/>
        <v>1399060</v>
      </c>
    </row>
    <row r="235" spans="1:14" s="15" customFormat="1" ht="14.25" customHeight="1" x14ac:dyDescent="0.25">
      <c r="A235" s="333"/>
      <c r="B235" s="333" t="s">
        <v>108</v>
      </c>
      <c r="C235" s="345"/>
      <c r="D235" s="345"/>
      <c r="E235" s="289">
        <v>852</v>
      </c>
      <c r="F235" s="1" t="s">
        <v>37</v>
      </c>
      <c r="G235" s="1" t="s">
        <v>58</v>
      </c>
      <c r="H235" s="1" t="s">
        <v>125</v>
      </c>
      <c r="I235" s="1" t="s">
        <v>109</v>
      </c>
      <c r="J235" s="2">
        <f t="shared" ref="J235:M235" si="142">J236</f>
        <v>1399060</v>
      </c>
      <c r="K235" s="2">
        <f t="shared" si="142"/>
        <v>0</v>
      </c>
      <c r="L235" s="2">
        <f t="shared" si="139"/>
        <v>1399060</v>
      </c>
      <c r="M235" s="2">
        <f t="shared" si="142"/>
        <v>0</v>
      </c>
      <c r="N235" s="2">
        <f t="shared" si="136"/>
        <v>1399060</v>
      </c>
    </row>
    <row r="236" spans="1:14" s="15" customFormat="1" ht="26.25" customHeight="1" x14ac:dyDescent="0.25">
      <c r="A236" s="333"/>
      <c r="B236" s="333" t="s">
        <v>146</v>
      </c>
      <c r="C236" s="345"/>
      <c r="D236" s="345"/>
      <c r="E236" s="289">
        <v>852</v>
      </c>
      <c r="F236" s="1" t="s">
        <v>37</v>
      </c>
      <c r="G236" s="1" t="s">
        <v>58</v>
      </c>
      <c r="H236" s="1" t="s">
        <v>125</v>
      </c>
      <c r="I236" s="1" t="s">
        <v>110</v>
      </c>
      <c r="J236" s="2">
        <v>1399060</v>
      </c>
      <c r="K236" s="2"/>
      <c r="L236" s="2">
        <f t="shared" si="139"/>
        <v>1399060</v>
      </c>
      <c r="M236" s="2"/>
      <c r="N236" s="2">
        <f t="shared" si="136"/>
        <v>1399060</v>
      </c>
    </row>
    <row r="237" spans="1:14" x14ac:dyDescent="0.25">
      <c r="A237" s="588" t="s">
        <v>104</v>
      </c>
      <c r="B237" s="588"/>
      <c r="C237" s="341"/>
      <c r="D237" s="341"/>
      <c r="E237" s="289">
        <v>852</v>
      </c>
      <c r="F237" s="7" t="s">
        <v>0</v>
      </c>
      <c r="G237" s="7"/>
      <c r="H237" s="7"/>
      <c r="I237" s="7"/>
      <c r="J237" s="9">
        <f>J238+J242+J254</f>
        <v>9232836</v>
      </c>
      <c r="K237" s="9">
        <f>K238+K242+K254</f>
        <v>0</v>
      </c>
      <c r="L237" s="9">
        <f>L238+L242+L254</f>
        <v>9232836</v>
      </c>
      <c r="M237" s="9">
        <f>M238+M242+M254</f>
        <v>168136</v>
      </c>
      <c r="N237" s="9">
        <f>N238+N242+N254</f>
        <v>9400972</v>
      </c>
    </row>
    <row r="238" spans="1:14" x14ac:dyDescent="0.25">
      <c r="A238" s="589" t="s">
        <v>111</v>
      </c>
      <c r="B238" s="589"/>
      <c r="C238" s="335"/>
      <c r="D238" s="335"/>
      <c r="E238" s="289">
        <v>852</v>
      </c>
      <c r="F238" s="12" t="s">
        <v>0</v>
      </c>
      <c r="G238" s="12" t="s">
        <v>4</v>
      </c>
      <c r="H238" s="12"/>
      <c r="I238" s="12"/>
      <c r="J238" s="14">
        <f>J239</f>
        <v>93000</v>
      </c>
      <c r="K238" s="14">
        <f>K239</f>
        <v>0</v>
      </c>
      <c r="L238" s="14">
        <f>L239</f>
        <v>93000</v>
      </c>
      <c r="M238" s="14">
        <f>M239</f>
        <v>0</v>
      </c>
      <c r="N238" s="14">
        <f>N239</f>
        <v>93000</v>
      </c>
    </row>
    <row r="239" spans="1:14" ht="24" customHeight="1" x14ac:dyDescent="0.25">
      <c r="A239" s="583" t="s">
        <v>147</v>
      </c>
      <c r="B239" s="583"/>
      <c r="C239" s="335"/>
      <c r="D239" s="335"/>
      <c r="E239" s="289">
        <v>852</v>
      </c>
      <c r="F239" s="1" t="s">
        <v>0</v>
      </c>
      <c r="G239" s="1" t="s">
        <v>4</v>
      </c>
      <c r="H239" s="1" t="s">
        <v>148</v>
      </c>
      <c r="I239" s="12"/>
      <c r="J239" s="2">
        <f t="shared" ref="J239:M240" si="143">J240</f>
        <v>93000</v>
      </c>
      <c r="K239" s="2">
        <f t="shared" si="143"/>
        <v>0</v>
      </c>
      <c r="L239" s="2">
        <f t="shared" si="139"/>
        <v>93000</v>
      </c>
      <c r="M239" s="2">
        <f t="shared" si="143"/>
        <v>0</v>
      </c>
      <c r="N239" s="2">
        <f t="shared" ref="N239:N241" si="144">L239+M239</f>
        <v>93000</v>
      </c>
    </row>
    <row r="240" spans="1:14" ht="15" customHeight="1" x14ac:dyDescent="0.25">
      <c r="A240" s="17"/>
      <c r="B240" s="332" t="s">
        <v>108</v>
      </c>
      <c r="C240" s="332"/>
      <c r="D240" s="332"/>
      <c r="E240" s="289">
        <v>852</v>
      </c>
      <c r="F240" s="1" t="s">
        <v>0</v>
      </c>
      <c r="G240" s="1" t="s">
        <v>4</v>
      </c>
      <c r="H240" s="1" t="s">
        <v>148</v>
      </c>
      <c r="I240" s="1" t="s">
        <v>109</v>
      </c>
      <c r="J240" s="2">
        <f t="shared" si="143"/>
        <v>93000</v>
      </c>
      <c r="K240" s="2">
        <f t="shared" si="143"/>
        <v>0</v>
      </c>
      <c r="L240" s="2">
        <f t="shared" si="139"/>
        <v>93000</v>
      </c>
      <c r="M240" s="2">
        <f t="shared" si="143"/>
        <v>0</v>
      </c>
      <c r="N240" s="2">
        <f t="shared" si="144"/>
        <v>93000</v>
      </c>
    </row>
    <row r="241" spans="1:16" ht="24.75" customHeight="1" x14ac:dyDescent="0.25">
      <c r="A241" s="333"/>
      <c r="B241" s="332" t="s">
        <v>146</v>
      </c>
      <c r="C241" s="332"/>
      <c r="D241" s="332"/>
      <c r="E241" s="289">
        <v>852</v>
      </c>
      <c r="F241" s="1" t="s">
        <v>0</v>
      </c>
      <c r="G241" s="1" t="s">
        <v>4</v>
      </c>
      <c r="H241" s="1" t="s">
        <v>148</v>
      </c>
      <c r="I241" s="1" t="s">
        <v>110</v>
      </c>
      <c r="J241" s="2">
        <v>93000</v>
      </c>
      <c r="K241" s="2"/>
      <c r="L241" s="2">
        <f t="shared" si="139"/>
        <v>93000</v>
      </c>
      <c r="M241" s="2"/>
      <c r="N241" s="2">
        <f t="shared" si="144"/>
        <v>93000</v>
      </c>
    </row>
    <row r="242" spans="1:16" x14ac:dyDescent="0.25">
      <c r="A242" s="589" t="s">
        <v>112</v>
      </c>
      <c r="B242" s="589"/>
      <c r="C242" s="345"/>
      <c r="D242" s="345"/>
      <c r="E242" s="289">
        <v>852</v>
      </c>
      <c r="F242" s="12" t="s">
        <v>0</v>
      </c>
      <c r="G242" s="12" t="s">
        <v>7</v>
      </c>
      <c r="H242" s="12"/>
      <c r="I242" s="12"/>
      <c r="J242" s="14">
        <f t="shared" ref="J242:L242" si="145">J243+J246+J251</f>
        <v>7971036</v>
      </c>
      <c r="K242" s="14">
        <f t="shared" si="145"/>
        <v>0</v>
      </c>
      <c r="L242" s="14">
        <f t="shared" si="145"/>
        <v>7971036</v>
      </c>
      <c r="M242" s="14">
        <f t="shared" ref="M242:N242" si="146">M243+M246+M251</f>
        <v>249959</v>
      </c>
      <c r="N242" s="14">
        <f t="shared" si="146"/>
        <v>8220995</v>
      </c>
    </row>
    <row r="243" spans="1:16" ht="35.25" customHeight="1" x14ac:dyDescent="0.25">
      <c r="A243" s="583" t="s">
        <v>599</v>
      </c>
      <c r="B243" s="583"/>
      <c r="C243" s="345"/>
      <c r="D243" s="345"/>
      <c r="E243" s="289">
        <v>852</v>
      </c>
      <c r="F243" s="1" t="s">
        <v>0</v>
      </c>
      <c r="G243" s="1" t="s">
        <v>7</v>
      </c>
      <c r="H243" s="1" t="s">
        <v>154</v>
      </c>
      <c r="I243" s="12"/>
      <c r="J243" s="2">
        <f t="shared" ref="J243:M244" si="147">J244</f>
        <v>836736</v>
      </c>
      <c r="K243" s="2">
        <f t="shared" si="147"/>
        <v>0</v>
      </c>
      <c r="L243" s="2">
        <f t="shared" si="139"/>
        <v>836736</v>
      </c>
      <c r="M243" s="2">
        <f t="shared" si="147"/>
        <v>249959</v>
      </c>
      <c r="N243" s="2">
        <f t="shared" ref="N243:N253" si="148">L243+M243</f>
        <v>1086695</v>
      </c>
    </row>
    <row r="244" spans="1:16" ht="13.5" customHeight="1" x14ac:dyDescent="0.25">
      <c r="A244" s="17"/>
      <c r="B244" s="332" t="s">
        <v>108</v>
      </c>
      <c r="C244" s="332"/>
      <c r="D244" s="332"/>
      <c r="E244" s="289">
        <v>852</v>
      </c>
      <c r="F244" s="1" t="s">
        <v>0</v>
      </c>
      <c r="G244" s="1" t="s">
        <v>7</v>
      </c>
      <c r="H244" s="1" t="s">
        <v>154</v>
      </c>
      <c r="I244" s="1" t="s">
        <v>109</v>
      </c>
      <c r="J244" s="2">
        <f t="shared" si="147"/>
        <v>836736</v>
      </c>
      <c r="K244" s="2">
        <f t="shared" si="147"/>
        <v>0</v>
      </c>
      <c r="L244" s="2">
        <f t="shared" si="139"/>
        <v>836736</v>
      </c>
      <c r="M244" s="2">
        <f t="shared" si="147"/>
        <v>249959</v>
      </c>
      <c r="N244" s="2">
        <f t="shared" si="148"/>
        <v>1086695</v>
      </c>
    </row>
    <row r="245" spans="1:16" ht="24" customHeight="1" x14ac:dyDescent="0.25">
      <c r="A245" s="333"/>
      <c r="B245" s="332" t="s">
        <v>146</v>
      </c>
      <c r="C245" s="332"/>
      <c r="D245" s="332"/>
      <c r="E245" s="289">
        <v>852</v>
      </c>
      <c r="F245" s="1" t="s">
        <v>0</v>
      </c>
      <c r="G245" s="1" t="s">
        <v>7</v>
      </c>
      <c r="H245" s="1" t="s">
        <v>154</v>
      </c>
      <c r="I245" s="1" t="s">
        <v>110</v>
      </c>
      <c r="J245" s="2">
        <v>836736</v>
      </c>
      <c r="K245" s="2"/>
      <c r="L245" s="2">
        <f t="shared" si="139"/>
        <v>836736</v>
      </c>
      <c r="M245" s="2">
        <v>249959</v>
      </c>
      <c r="N245" s="2">
        <f t="shared" si="148"/>
        <v>1086695</v>
      </c>
    </row>
    <row r="246" spans="1:16" ht="48" customHeight="1" x14ac:dyDescent="0.25">
      <c r="A246" s="591" t="s">
        <v>3</v>
      </c>
      <c r="B246" s="591"/>
      <c r="C246" s="332"/>
      <c r="D246" s="332"/>
      <c r="E246" s="289">
        <v>852</v>
      </c>
      <c r="F246" s="1" t="s">
        <v>0</v>
      </c>
      <c r="G246" s="1" t="s">
        <v>7</v>
      </c>
      <c r="H246" s="1" t="s">
        <v>5</v>
      </c>
      <c r="I246" s="1"/>
      <c r="J246" s="2">
        <f t="shared" ref="J246:K246" si="149">J247+J249</f>
        <v>6976300</v>
      </c>
      <c r="K246" s="2">
        <f t="shared" si="149"/>
        <v>0</v>
      </c>
      <c r="L246" s="2">
        <f t="shared" si="139"/>
        <v>6976300</v>
      </c>
      <c r="M246" s="2">
        <f t="shared" ref="M246" si="150">M247+M249</f>
        <v>0</v>
      </c>
      <c r="N246" s="2">
        <f t="shared" si="148"/>
        <v>6976300</v>
      </c>
    </row>
    <row r="247" spans="1:16" ht="12.75" customHeight="1" x14ac:dyDescent="0.25">
      <c r="A247" s="17"/>
      <c r="B247" s="333" t="s">
        <v>28</v>
      </c>
      <c r="C247" s="332"/>
      <c r="D247" s="332"/>
      <c r="E247" s="289">
        <v>852</v>
      </c>
      <c r="F247" s="1" t="s">
        <v>149</v>
      </c>
      <c r="G247" s="1" t="s">
        <v>7</v>
      </c>
      <c r="H247" s="1" t="s">
        <v>5</v>
      </c>
      <c r="I247" s="1" t="s">
        <v>29</v>
      </c>
      <c r="J247" s="2">
        <f t="shared" ref="J247:M247" si="151">J248</f>
        <v>1795108</v>
      </c>
      <c r="K247" s="2">
        <f t="shared" si="151"/>
        <v>0</v>
      </c>
      <c r="L247" s="2">
        <f t="shared" si="139"/>
        <v>1795108</v>
      </c>
      <c r="M247" s="2">
        <f t="shared" si="151"/>
        <v>0</v>
      </c>
      <c r="N247" s="2">
        <f t="shared" si="148"/>
        <v>1795108</v>
      </c>
    </row>
    <row r="248" spans="1:16" ht="25.5" customHeight="1" x14ac:dyDescent="0.25">
      <c r="A248" s="17"/>
      <c r="B248" s="333" t="s">
        <v>30</v>
      </c>
      <c r="C248" s="333"/>
      <c r="D248" s="333"/>
      <c r="E248" s="289">
        <v>852</v>
      </c>
      <c r="F248" s="1" t="s">
        <v>149</v>
      </c>
      <c r="G248" s="1" t="s">
        <v>7</v>
      </c>
      <c r="H248" s="1" t="s">
        <v>5</v>
      </c>
      <c r="I248" s="1" t="s">
        <v>31</v>
      </c>
      <c r="J248" s="2">
        <f>1697810+97298</f>
        <v>1795108</v>
      </c>
      <c r="K248" s="2"/>
      <c r="L248" s="2">
        <f t="shared" si="139"/>
        <v>1795108</v>
      </c>
      <c r="M248" s="2"/>
      <c r="N248" s="2">
        <f t="shared" si="148"/>
        <v>1795108</v>
      </c>
    </row>
    <row r="249" spans="1:16" ht="12.75" customHeight="1" x14ac:dyDescent="0.25">
      <c r="A249" s="315"/>
      <c r="B249" s="332" t="s">
        <v>108</v>
      </c>
      <c r="C249" s="332"/>
      <c r="D249" s="332"/>
      <c r="E249" s="289">
        <v>852</v>
      </c>
      <c r="F249" s="1" t="s">
        <v>0</v>
      </c>
      <c r="G249" s="1" t="s">
        <v>7</v>
      </c>
      <c r="H249" s="1" t="s">
        <v>5</v>
      </c>
      <c r="I249" s="1" t="s">
        <v>109</v>
      </c>
      <c r="J249" s="2">
        <f t="shared" ref="J249:M249" si="152">J250</f>
        <v>5181192</v>
      </c>
      <c r="K249" s="2">
        <f t="shared" si="152"/>
        <v>0</v>
      </c>
      <c r="L249" s="2">
        <f t="shared" si="139"/>
        <v>5181192</v>
      </c>
      <c r="M249" s="2">
        <f t="shared" si="152"/>
        <v>0</v>
      </c>
      <c r="N249" s="2">
        <f t="shared" si="148"/>
        <v>5181192</v>
      </c>
    </row>
    <row r="250" spans="1:16" ht="27.75" customHeight="1" x14ac:dyDescent="0.25">
      <c r="A250" s="315"/>
      <c r="B250" s="332" t="s">
        <v>379</v>
      </c>
      <c r="C250" s="332"/>
      <c r="D250" s="332"/>
      <c r="E250" s="289">
        <v>852</v>
      </c>
      <c r="F250" s="1" t="s">
        <v>0</v>
      </c>
      <c r="G250" s="1" t="s">
        <v>7</v>
      </c>
      <c r="H250" s="1" t="s">
        <v>5</v>
      </c>
      <c r="I250" s="1" t="s">
        <v>9</v>
      </c>
      <c r="J250" s="2">
        <f>3238668+1942569-45</f>
        <v>5181192</v>
      </c>
      <c r="K250" s="2"/>
      <c r="L250" s="2">
        <f t="shared" si="139"/>
        <v>5181192</v>
      </c>
      <c r="M250" s="2"/>
      <c r="N250" s="2">
        <f t="shared" si="148"/>
        <v>5181192</v>
      </c>
    </row>
    <row r="251" spans="1:16" ht="50.25" customHeight="1" x14ac:dyDescent="0.25">
      <c r="A251" s="583" t="s">
        <v>6</v>
      </c>
      <c r="B251" s="583"/>
      <c r="C251" s="332"/>
      <c r="D251" s="332"/>
      <c r="E251" s="289">
        <v>852</v>
      </c>
      <c r="F251" s="1" t="s">
        <v>0</v>
      </c>
      <c r="G251" s="1" t="s">
        <v>7</v>
      </c>
      <c r="H251" s="1" t="s">
        <v>8</v>
      </c>
      <c r="I251" s="1"/>
      <c r="J251" s="2">
        <f t="shared" ref="J251:M251" si="153">J252</f>
        <v>158000</v>
      </c>
      <c r="K251" s="2">
        <f t="shared" si="153"/>
        <v>0</v>
      </c>
      <c r="L251" s="2">
        <f t="shared" si="139"/>
        <v>158000</v>
      </c>
      <c r="M251" s="2">
        <f t="shared" si="153"/>
        <v>0</v>
      </c>
      <c r="N251" s="2">
        <f t="shared" si="148"/>
        <v>158000</v>
      </c>
    </row>
    <row r="252" spans="1:16" ht="15" customHeight="1" x14ac:dyDescent="0.25">
      <c r="A252" s="315"/>
      <c r="B252" s="332" t="s">
        <v>108</v>
      </c>
      <c r="C252" s="332"/>
      <c r="D252" s="332"/>
      <c r="E252" s="289">
        <v>852</v>
      </c>
      <c r="F252" s="1" t="s">
        <v>0</v>
      </c>
      <c r="G252" s="1" t="s">
        <v>7</v>
      </c>
      <c r="H252" s="1" t="s">
        <v>8</v>
      </c>
      <c r="I252" s="1" t="s">
        <v>109</v>
      </c>
      <c r="J252" s="2">
        <f t="shared" ref="J252:M252" si="154">J253</f>
        <v>158000</v>
      </c>
      <c r="K252" s="2">
        <f t="shared" si="154"/>
        <v>0</v>
      </c>
      <c r="L252" s="2">
        <f t="shared" si="139"/>
        <v>158000</v>
      </c>
      <c r="M252" s="2">
        <f t="shared" si="154"/>
        <v>0</v>
      </c>
      <c r="N252" s="2">
        <f t="shared" si="148"/>
        <v>158000</v>
      </c>
    </row>
    <row r="253" spans="1:16" ht="27" customHeight="1" x14ac:dyDescent="0.25">
      <c r="A253" s="315"/>
      <c r="B253" s="332" t="s">
        <v>379</v>
      </c>
      <c r="C253" s="332"/>
      <c r="D253" s="332"/>
      <c r="E253" s="289">
        <v>852</v>
      </c>
      <c r="F253" s="1" t="s">
        <v>0</v>
      </c>
      <c r="G253" s="1" t="s">
        <v>7</v>
      </c>
      <c r="H253" s="1" t="s">
        <v>8</v>
      </c>
      <c r="I253" s="1" t="s">
        <v>9</v>
      </c>
      <c r="J253" s="2">
        <v>158000</v>
      </c>
      <c r="K253" s="2"/>
      <c r="L253" s="2">
        <f t="shared" si="139"/>
        <v>158000</v>
      </c>
      <c r="M253" s="2"/>
      <c r="N253" s="2">
        <f t="shared" si="148"/>
        <v>158000</v>
      </c>
    </row>
    <row r="254" spans="1:16" x14ac:dyDescent="0.25">
      <c r="A254" s="589" t="s">
        <v>116</v>
      </c>
      <c r="B254" s="589"/>
      <c r="C254" s="345"/>
      <c r="D254" s="345"/>
      <c r="E254" s="289">
        <v>852</v>
      </c>
      <c r="F254" s="12" t="s">
        <v>0</v>
      </c>
      <c r="G254" s="12" t="s">
        <v>1</v>
      </c>
      <c r="H254" s="12"/>
      <c r="I254" s="12"/>
      <c r="J254" s="14">
        <f t="shared" ref="J254:L254" si="155">J255+J260</f>
        <v>1168800</v>
      </c>
      <c r="K254" s="14">
        <f t="shared" si="155"/>
        <v>0</v>
      </c>
      <c r="L254" s="14">
        <f t="shared" si="155"/>
        <v>1168800</v>
      </c>
      <c r="M254" s="14">
        <f t="shared" ref="M254:N254" si="156">M255+M260</f>
        <v>-81823</v>
      </c>
      <c r="N254" s="14">
        <f t="shared" si="156"/>
        <v>1086977</v>
      </c>
    </row>
    <row r="255" spans="1:16" ht="50.25" customHeight="1" x14ac:dyDescent="0.25">
      <c r="A255" s="583" t="s">
        <v>46</v>
      </c>
      <c r="B255" s="583"/>
      <c r="C255" s="289"/>
      <c r="D255" s="289"/>
      <c r="E255" s="289">
        <v>852</v>
      </c>
      <c r="F255" s="1" t="s">
        <v>0</v>
      </c>
      <c r="G255" s="1" t="s">
        <v>1</v>
      </c>
      <c r="H255" s="1" t="s">
        <v>155</v>
      </c>
      <c r="I255" s="1"/>
      <c r="J255" s="2">
        <f t="shared" ref="J255:K255" si="157">J256+J258</f>
        <v>510800</v>
      </c>
      <c r="K255" s="2">
        <f t="shared" si="157"/>
        <v>0</v>
      </c>
      <c r="L255" s="2">
        <f t="shared" si="139"/>
        <v>510800</v>
      </c>
      <c r="M255" s="396">
        <f t="shared" ref="M255" si="158">M256+M258</f>
        <v>-35763</v>
      </c>
      <c r="N255" s="2">
        <f t="shared" ref="N255:N264" si="159">L255+M255</f>
        <v>475037</v>
      </c>
      <c r="P255" s="471"/>
    </row>
    <row r="256" spans="1:16" ht="36.75" customHeight="1" x14ac:dyDescent="0.25">
      <c r="A256" s="17"/>
      <c r="B256" s="332" t="s">
        <v>22</v>
      </c>
      <c r="C256" s="289"/>
      <c r="D256" s="289"/>
      <c r="E256" s="289">
        <v>852</v>
      </c>
      <c r="F256" s="20" t="s">
        <v>0</v>
      </c>
      <c r="G256" s="20" t="s">
        <v>1</v>
      </c>
      <c r="H256" s="1" t="s">
        <v>155</v>
      </c>
      <c r="I256" s="1" t="s">
        <v>24</v>
      </c>
      <c r="J256" s="2">
        <f t="shared" ref="J256:M256" si="160">J257</f>
        <v>379550</v>
      </c>
      <c r="K256" s="2">
        <f t="shared" si="160"/>
        <v>0</v>
      </c>
      <c r="L256" s="2">
        <f t="shared" si="139"/>
        <v>379550</v>
      </c>
      <c r="M256" s="396">
        <f t="shared" si="160"/>
        <v>0</v>
      </c>
      <c r="N256" s="2">
        <f t="shared" si="159"/>
        <v>379550</v>
      </c>
      <c r="P256" s="471"/>
    </row>
    <row r="257" spans="1:16" ht="15" customHeight="1" x14ac:dyDescent="0.25">
      <c r="A257" s="17"/>
      <c r="B257" s="332" t="s">
        <v>25</v>
      </c>
      <c r="C257" s="289"/>
      <c r="D257" s="289"/>
      <c r="E257" s="289">
        <v>852</v>
      </c>
      <c r="F257" s="20" t="s">
        <v>0</v>
      </c>
      <c r="G257" s="20" t="s">
        <v>1</v>
      </c>
      <c r="H257" s="1" t="s">
        <v>155</v>
      </c>
      <c r="I257" s="1" t="s">
        <v>26</v>
      </c>
      <c r="J257" s="2">
        <f>431934-52384</f>
        <v>379550</v>
      </c>
      <c r="K257" s="2"/>
      <c r="L257" s="2">
        <f t="shared" si="139"/>
        <v>379550</v>
      </c>
      <c r="M257" s="396"/>
      <c r="N257" s="2">
        <f t="shared" si="159"/>
        <v>379550</v>
      </c>
      <c r="P257" s="471"/>
    </row>
    <row r="258" spans="1:16" ht="15" customHeight="1" x14ac:dyDescent="0.25">
      <c r="A258" s="17"/>
      <c r="B258" s="333" t="s">
        <v>28</v>
      </c>
      <c r="C258" s="289"/>
      <c r="D258" s="289"/>
      <c r="E258" s="289">
        <v>852</v>
      </c>
      <c r="F258" s="20" t="s">
        <v>0</v>
      </c>
      <c r="G258" s="20" t="s">
        <v>1</v>
      </c>
      <c r="H258" s="1" t="s">
        <v>155</v>
      </c>
      <c r="I258" s="1" t="s">
        <v>29</v>
      </c>
      <c r="J258" s="2">
        <f t="shared" ref="J258:M258" si="161">J259</f>
        <v>131250</v>
      </c>
      <c r="K258" s="2">
        <f t="shared" si="161"/>
        <v>0</v>
      </c>
      <c r="L258" s="2">
        <f t="shared" si="139"/>
        <v>131250</v>
      </c>
      <c r="M258" s="396">
        <f t="shared" si="161"/>
        <v>-35763</v>
      </c>
      <c r="N258" s="2">
        <f t="shared" si="159"/>
        <v>95487</v>
      </c>
      <c r="P258" s="471"/>
    </row>
    <row r="259" spans="1:16" ht="24" customHeight="1" x14ac:dyDescent="0.25">
      <c r="A259" s="17"/>
      <c r="B259" s="333" t="s">
        <v>30</v>
      </c>
      <c r="C259" s="289"/>
      <c r="D259" s="289"/>
      <c r="E259" s="289">
        <v>852</v>
      </c>
      <c r="F259" s="20" t="s">
        <v>0</v>
      </c>
      <c r="G259" s="20" t="s">
        <v>1</v>
      </c>
      <c r="H259" s="1" t="s">
        <v>155</v>
      </c>
      <c r="I259" s="1" t="s">
        <v>31</v>
      </c>
      <c r="J259" s="2">
        <f>78866+52384</f>
        <v>131250</v>
      </c>
      <c r="K259" s="2"/>
      <c r="L259" s="2">
        <f t="shared" si="139"/>
        <v>131250</v>
      </c>
      <c r="M259" s="396">
        <f>-35756-7</f>
        <v>-35763</v>
      </c>
      <c r="N259" s="2">
        <f t="shared" si="159"/>
        <v>95487</v>
      </c>
      <c r="P259" s="471"/>
    </row>
    <row r="260" spans="1:16" ht="49.5" customHeight="1" x14ac:dyDescent="0.25">
      <c r="A260" s="591" t="s">
        <v>3</v>
      </c>
      <c r="B260" s="591"/>
      <c r="C260" s="332"/>
      <c r="D260" s="332"/>
      <c r="E260" s="289">
        <v>852</v>
      </c>
      <c r="F260" s="1" t="s">
        <v>0</v>
      </c>
      <c r="G260" s="1" t="s">
        <v>1</v>
      </c>
      <c r="H260" s="1" t="s">
        <v>5</v>
      </c>
      <c r="I260" s="1"/>
      <c r="J260" s="2">
        <f t="shared" ref="J260:K260" si="162">J261+J263</f>
        <v>658000</v>
      </c>
      <c r="K260" s="2">
        <f t="shared" si="162"/>
        <v>0</v>
      </c>
      <c r="L260" s="2">
        <f t="shared" si="139"/>
        <v>658000</v>
      </c>
      <c r="M260" s="2">
        <f t="shared" ref="M260" si="163">M261+M263</f>
        <v>-46060</v>
      </c>
      <c r="N260" s="2">
        <f t="shared" si="159"/>
        <v>611940</v>
      </c>
      <c r="P260" s="471"/>
    </row>
    <row r="261" spans="1:16" ht="36" customHeight="1" x14ac:dyDescent="0.25">
      <c r="A261" s="333"/>
      <c r="B261" s="332" t="s">
        <v>22</v>
      </c>
      <c r="C261" s="333"/>
      <c r="D261" s="333"/>
      <c r="E261" s="289">
        <v>852</v>
      </c>
      <c r="F261" s="20" t="s">
        <v>0</v>
      </c>
      <c r="G261" s="20" t="s">
        <v>1</v>
      </c>
      <c r="H261" s="1" t="s">
        <v>5</v>
      </c>
      <c r="I261" s="1" t="s">
        <v>24</v>
      </c>
      <c r="J261" s="2">
        <f t="shared" ref="J261:M261" si="164">J262</f>
        <v>420900</v>
      </c>
      <c r="K261" s="2">
        <f t="shared" si="164"/>
        <v>0</v>
      </c>
      <c r="L261" s="2">
        <f t="shared" si="139"/>
        <v>420900</v>
      </c>
      <c r="M261" s="2">
        <f t="shared" si="164"/>
        <v>0</v>
      </c>
      <c r="N261" s="2">
        <f t="shared" si="159"/>
        <v>420900</v>
      </c>
    </row>
    <row r="262" spans="1:16" ht="15" customHeight="1" x14ac:dyDescent="0.25">
      <c r="A262" s="17"/>
      <c r="B262" s="332" t="s">
        <v>25</v>
      </c>
      <c r="C262" s="332"/>
      <c r="D262" s="332"/>
      <c r="E262" s="289">
        <v>852</v>
      </c>
      <c r="F262" s="20" t="s">
        <v>0</v>
      </c>
      <c r="G262" s="20" t="s">
        <v>1</v>
      </c>
      <c r="H262" s="1" t="s">
        <v>5</v>
      </c>
      <c r="I262" s="1" t="s">
        <v>26</v>
      </c>
      <c r="J262" s="2">
        <v>420900</v>
      </c>
      <c r="K262" s="2"/>
      <c r="L262" s="2">
        <f t="shared" si="139"/>
        <v>420900</v>
      </c>
      <c r="M262" s="2"/>
      <c r="N262" s="2">
        <f t="shared" si="159"/>
        <v>420900</v>
      </c>
    </row>
    <row r="263" spans="1:16" ht="15" customHeight="1" x14ac:dyDescent="0.25">
      <c r="A263" s="17"/>
      <c r="B263" s="333" t="s">
        <v>28</v>
      </c>
      <c r="C263" s="332"/>
      <c r="D263" s="332"/>
      <c r="E263" s="289">
        <v>852</v>
      </c>
      <c r="F263" s="20" t="s">
        <v>0</v>
      </c>
      <c r="G263" s="20" t="s">
        <v>1</v>
      </c>
      <c r="H263" s="1" t="s">
        <v>5</v>
      </c>
      <c r="I263" s="1" t="s">
        <v>29</v>
      </c>
      <c r="J263" s="2">
        <f t="shared" ref="J263:M263" si="165">J264</f>
        <v>237100</v>
      </c>
      <c r="K263" s="2">
        <f t="shared" si="165"/>
        <v>0</v>
      </c>
      <c r="L263" s="2">
        <f t="shared" si="139"/>
        <v>237100</v>
      </c>
      <c r="M263" s="2">
        <f t="shared" si="165"/>
        <v>-46060</v>
      </c>
      <c r="N263" s="2">
        <f t="shared" si="159"/>
        <v>191040</v>
      </c>
    </row>
    <row r="264" spans="1:16" ht="27.75" customHeight="1" x14ac:dyDescent="0.25">
      <c r="A264" s="17"/>
      <c r="B264" s="333" t="s">
        <v>30</v>
      </c>
      <c r="C264" s="333"/>
      <c r="D264" s="333"/>
      <c r="E264" s="289">
        <v>852</v>
      </c>
      <c r="F264" s="20" t="s">
        <v>0</v>
      </c>
      <c r="G264" s="20" t="s">
        <v>1</v>
      </c>
      <c r="H264" s="1" t="s">
        <v>5</v>
      </c>
      <c r="I264" s="1" t="s">
        <v>31</v>
      </c>
      <c r="J264" s="2">
        <v>237100</v>
      </c>
      <c r="K264" s="2"/>
      <c r="L264" s="2">
        <f t="shared" si="139"/>
        <v>237100</v>
      </c>
      <c r="M264" s="2">
        <v>-46060</v>
      </c>
      <c r="N264" s="2">
        <f t="shared" si="159"/>
        <v>191040</v>
      </c>
    </row>
    <row r="265" spans="1:16" ht="18" customHeight="1" x14ac:dyDescent="0.25">
      <c r="A265" s="593" t="s">
        <v>156</v>
      </c>
      <c r="B265" s="593"/>
      <c r="C265" s="350"/>
      <c r="D265" s="350"/>
      <c r="E265" s="348">
        <v>853</v>
      </c>
      <c r="F265" s="1"/>
      <c r="G265" s="1"/>
      <c r="H265" s="1"/>
      <c r="I265" s="1"/>
      <c r="J265" s="9">
        <f>J266+J280+J285+J299+J308+J325</f>
        <v>19120517</v>
      </c>
      <c r="K265" s="9">
        <f>K266+K280+K285+K299+K308+K325</f>
        <v>0</v>
      </c>
      <c r="L265" s="9">
        <f>L266+L280+L285+L290+L299+L308+L325</f>
        <v>19120517</v>
      </c>
      <c r="M265" s="9">
        <f t="shared" ref="M265:N265" si="166">M266+M280+M285+M290+M299+M308+M325</f>
        <v>-666401</v>
      </c>
      <c r="N265" s="9">
        <f t="shared" si="166"/>
        <v>18454116</v>
      </c>
    </row>
    <row r="266" spans="1:16" s="11" customFormat="1" x14ac:dyDescent="0.25">
      <c r="A266" s="588" t="s">
        <v>17</v>
      </c>
      <c r="B266" s="588"/>
      <c r="C266" s="338"/>
      <c r="D266" s="338"/>
      <c r="E266" s="32">
        <v>853</v>
      </c>
      <c r="F266" s="7" t="s">
        <v>18</v>
      </c>
      <c r="G266" s="7"/>
      <c r="H266" s="7"/>
      <c r="I266" s="7"/>
      <c r="J266" s="9">
        <f>J267+J276</f>
        <v>3735500</v>
      </c>
      <c r="K266" s="9">
        <f>K267+K276</f>
        <v>0</v>
      </c>
      <c r="L266" s="9">
        <f>L267+L276</f>
        <v>3735500</v>
      </c>
      <c r="M266" s="9">
        <f>M267+M276</f>
        <v>0</v>
      </c>
      <c r="N266" s="9">
        <f>N267+N276</f>
        <v>3735500</v>
      </c>
    </row>
    <row r="267" spans="1:16" s="15" customFormat="1" ht="27.75" customHeight="1" x14ac:dyDescent="0.25">
      <c r="A267" s="589" t="s">
        <v>157</v>
      </c>
      <c r="B267" s="589"/>
      <c r="C267" s="334"/>
      <c r="D267" s="334"/>
      <c r="E267" s="32">
        <v>853</v>
      </c>
      <c r="F267" s="12" t="s">
        <v>18</v>
      </c>
      <c r="G267" s="12" t="s">
        <v>1</v>
      </c>
      <c r="H267" s="12"/>
      <c r="I267" s="12"/>
      <c r="J267" s="14">
        <f>J268</f>
        <v>3735300</v>
      </c>
      <c r="K267" s="14">
        <f>K268</f>
        <v>0</v>
      </c>
      <c r="L267" s="14">
        <f>L268</f>
        <v>3735300</v>
      </c>
      <c r="M267" s="14">
        <f>M268</f>
        <v>0</v>
      </c>
      <c r="N267" s="14">
        <f>N268</f>
        <v>3735300</v>
      </c>
    </row>
    <row r="268" spans="1:16" ht="27.75" customHeight="1" x14ac:dyDescent="0.25">
      <c r="A268" s="583" t="s">
        <v>27</v>
      </c>
      <c r="B268" s="583"/>
      <c r="C268" s="289"/>
      <c r="D268" s="289"/>
      <c r="E268" s="32">
        <v>853</v>
      </c>
      <c r="F268" s="1" t="s">
        <v>23</v>
      </c>
      <c r="G268" s="1" t="s">
        <v>1</v>
      </c>
      <c r="H268" s="1" t="s">
        <v>378</v>
      </c>
      <c r="I268" s="1"/>
      <c r="J268" s="2">
        <f t="shared" ref="J268:K268" si="167">J269+J271+J273</f>
        <v>3735300</v>
      </c>
      <c r="K268" s="2">
        <f t="shared" si="167"/>
        <v>0</v>
      </c>
      <c r="L268" s="2">
        <f t="shared" si="139"/>
        <v>3735300</v>
      </c>
      <c r="M268" s="2">
        <f t="shared" ref="M268" si="168">M269+M271+M273</f>
        <v>0</v>
      </c>
      <c r="N268" s="2">
        <f t="shared" ref="N268:N275" si="169">L268+M268</f>
        <v>3735300</v>
      </c>
    </row>
    <row r="269" spans="1:16" ht="36" customHeight="1" x14ac:dyDescent="0.25">
      <c r="A269" s="17"/>
      <c r="B269" s="332" t="s">
        <v>22</v>
      </c>
      <c r="C269" s="289"/>
      <c r="D269" s="289"/>
      <c r="E269" s="32">
        <v>853</v>
      </c>
      <c r="F269" s="1" t="s">
        <v>18</v>
      </c>
      <c r="G269" s="1" t="s">
        <v>1</v>
      </c>
      <c r="H269" s="1" t="s">
        <v>378</v>
      </c>
      <c r="I269" s="1" t="s">
        <v>24</v>
      </c>
      <c r="J269" s="2">
        <f t="shared" ref="J269:M269" si="170">J270</f>
        <v>3406500</v>
      </c>
      <c r="K269" s="2">
        <f t="shared" si="170"/>
        <v>0</v>
      </c>
      <c r="L269" s="2">
        <f t="shared" si="139"/>
        <v>3406500</v>
      </c>
      <c r="M269" s="2">
        <f t="shared" si="170"/>
        <v>0</v>
      </c>
      <c r="N269" s="2">
        <f t="shared" si="169"/>
        <v>3406500</v>
      </c>
    </row>
    <row r="270" spans="1:16" ht="14.25" customHeight="1" x14ac:dyDescent="0.25">
      <c r="A270" s="17"/>
      <c r="B270" s="332" t="s">
        <v>25</v>
      </c>
      <c r="C270" s="289"/>
      <c r="D270" s="289"/>
      <c r="E270" s="32">
        <v>853</v>
      </c>
      <c r="F270" s="1" t="s">
        <v>18</v>
      </c>
      <c r="G270" s="1" t="s">
        <v>1</v>
      </c>
      <c r="H270" s="1" t="s">
        <v>378</v>
      </c>
      <c r="I270" s="1" t="s">
        <v>26</v>
      </c>
      <c r="J270" s="2">
        <f>3406447+53</f>
        <v>3406500</v>
      </c>
      <c r="K270" s="2"/>
      <c r="L270" s="2">
        <f t="shared" si="139"/>
        <v>3406500</v>
      </c>
      <c r="M270" s="2"/>
      <c r="N270" s="2">
        <f t="shared" si="169"/>
        <v>3406500</v>
      </c>
    </row>
    <row r="271" spans="1:16" ht="14.25" customHeight="1" x14ac:dyDescent="0.25">
      <c r="A271" s="17"/>
      <c r="B271" s="333" t="s">
        <v>28</v>
      </c>
      <c r="C271" s="289"/>
      <c r="D271" s="289"/>
      <c r="E271" s="32">
        <v>853</v>
      </c>
      <c r="F271" s="1" t="s">
        <v>18</v>
      </c>
      <c r="G271" s="1" t="s">
        <v>1</v>
      </c>
      <c r="H271" s="1" t="s">
        <v>378</v>
      </c>
      <c r="I271" s="1" t="s">
        <v>29</v>
      </c>
      <c r="J271" s="2">
        <f t="shared" ref="J271:M271" si="171">J272</f>
        <v>314800</v>
      </c>
      <c r="K271" s="2">
        <f t="shared" si="171"/>
        <v>0</v>
      </c>
      <c r="L271" s="2">
        <f t="shared" si="139"/>
        <v>314800</v>
      </c>
      <c r="M271" s="2">
        <f t="shared" si="171"/>
        <v>0</v>
      </c>
      <c r="N271" s="2">
        <f t="shared" si="169"/>
        <v>314800</v>
      </c>
    </row>
    <row r="272" spans="1:16" ht="26.25" customHeight="1" x14ac:dyDescent="0.25">
      <c r="A272" s="17"/>
      <c r="B272" s="333" t="s">
        <v>30</v>
      </c>
      <c r="C272" s="289"/>
      <c r="D272" s="289"/>
      <c r="E272" s="32">
        <v>853</v>
      </c>
      <c r="F272" s="1" t="s">
        <v>18</v>
      </c>
      <c r="G272" s="1" t="s">
        <v>1</v>
      </c>
      <c r="H272" s="1" t="s">
        <v>378</v>
      </c>
      <c r="I272" s="1" t="s">
        <v>31</v>
      </c>
      <c r="J272" s="2">
        <f>318400-3600</f>
        <v>314800</v>
      </c>
      <c r="K272" s="2"/>
      <c r="L272" s="2">
        <f t="shared" si="139"/>
        <v>314800</v>
      </c>
      <c r="M272" s="2"/>
      <c r="N272" s="2">
        <f t="shared" si="169"/>
        <v>314800</v>
      </c>
    </row>
    <row r="273" spans="1:14" x14ac:dyDescent="0.25">
      <c r="A273" s="17"/>
      <c r="B273" s="333" t="s">
        <v>32</v>
      </c>
      <c r="C273" s="289"/>
      <c r="D273" s="289"/>
      <c r="E273" s="32">
        <v>853</v>
      </c>
      <c r="F273" s="1" t="s">
        <v>18</v>
      </c>
      <c r="G273" s="1" t="s">
        <v>1</v>
      </c>
      <c r="H273" s="1" t="s">
        <v>378</v>
      </c>
      <c r="I273" s="1" t="s">
        <v>33</v>
      </c>
      <c r="J273" s="2">
        <f>J274+J275</f>
        <v>14000</v>
      </c>
      <c r="K273" s="2">
        <f t="shared" ref="K273:M273" si="172">K274</f>
        <v>0</v>
      </c>
      <c r="L273" s="2">
        <f t="shared" si="139"/>
        <v>14000</v>
      </c>
      <c r="M273" s="2">
        <f t="shared" si="172"/>
        <v>0</v>
      </c>
      <c r="N273" s="2">
        <f t="shared" si="169"/>
        <v>14000</v>
      </c>
    </row>
    <row r="274" spans="1:14" ht="13.5" customHeight="1" x14ac:dyDescent="0.25">
      <c r="A274" s="17"/>
      <c r="B274" s="333" t="s">
        <v>34</v>
      </c>
      <c r="C274" s="289"/>
      <c r="D274" s="289"/>
      <c r="E274" s="74">
        <v>853</v>
      </c>
      <c r="F274" s="1" t="s">
        <v>18</v>
      </c>
      <c r="G274" s="1" t="s">
        <v>1</v>
      </c>
      <c r="H274" s="1" t="s">
        <v>378</v>
      </c>
      <c r="I274" s="1" t="s">
        <v>35</v>
      </c>
      <c r="J274" s="2">
        <f>14000-130</f>
        <v>13870</v>
      </c>
      <c r="K274" s="2"/>
      <c r="L274" s="2">
        <f t="shared" si="139"/>
        <v>13870</v>
      </c>
      <c r="M274" s="2"/>
      <c r="N274" s="2">
        <f t="shared" si="169"/>
        <v>13870</v>
      </c>
    </row>
    <row r="275" spans="1:14" ht="13.5" customHeight="1" x14ac:dyDescent="0.25">
      <c r="A275" s="17"/>
      <c r="B275" s="332" t="s">
        <v>596</v>
      </c>
      <c r="C275" s="289"/>
      <c r="D275" s="289"/>
      <c r="E275" s="74">
        <v>853</v>
      </c>
      <c r="F275" s="1" t="s">
        <v>18</v>
      </c>
      <c r="G275" s="1" t="s">
        <v>1</v>
      </c>
      <c r="H275" s="1" t="s">
        <v>378</v>
      </c>
      <c r="I275" s="1" t="s">
        <v>36</v>
      </c>
      <c r="J275" s="2">
        <v>130</v>
      </c>
      <c r="K275" s="2"/>
      <c r="L275" s="2">
        <f t="shared" si="139"/>
        <v>130</v>
      </c>
      <c r="M275" s="2"/>
      <c r="N275" s="2">
        <f t="shared" si="169"/>
        <v>130</v>
      </c>
    </row>
    <row r="276" spans="1:14" s="15" customFormat="1" x14ac:dyDescent="0.25">
      <c r="A276" s="589" t="s">
        <v>44</v>
      </c>
      <c r="B276" s="589"/>
      <c r="C276" s="345"/>
      <c r="D276" s="345"/>
      <c r="E276" s="74">
        <v>853</v>
      </c>
      <c r="F276" s="12" t="s">
        <v>18</v>
      </c>
      <c r="G276" s="12" t="s">
        <v>45</v>
      </c>
      <c r="H276" s="12"/>
      <c r="I276" s="12"/>
      <c r="J276" s="14">
        <f t="shared" ref="J276:N277" si="173">J277</f>
        <v>200</v>
      </c>
      <c r="K276" s="14">
        <f t="shared" si="173"/>
        <v>0</v>
      </c>
      <c r="L276" s="14">
        <f t="shared" si="173"/>
        <v>200</v>
      </c>
      <c r="M276" s="14">
        <f t="shared" si="173"/>
        <v>0</v>
      </c>
      <c r="N276" s="14">
        <f t="shared" si="173"/>
        <v>200</v>
      </c>
    </row>
    <row r="277" spans="1:14" ht="49.5" customHeight="1" x14ac:dyDescent="0.25">
      <c r="A277" s="583" t="s">
        <v>46</v>
      </c>
      <c r="B277" s="583"/>
      <c r="C277" s="289"/>
      <c r="D277" s="289"/>
      <c r="E277" s="74">
        <v>853</v>
      </c>
      <c r="F277" s="1" t="s">
        <v>18</v>
      </c>
      <c r="G277" s="1" t="s">
        <v>45</v>
      </c>
      <c r="H277" s="1" t="s">
        <v>47</v>
      </c>
      <c r="I277" s="1"/>
      <c r="J277" s="2">
        <f t="shared" si="173"/>
        <v>200</v>
      </c>
      <c r="K277" s="2">
        <f t="shared" si="173"/>
        <v>0</v>
      </c>
      <c r="L277" s="2">
        <f t="shared" si="139"/>
        <v>200</v>
      </c>
      <c r="M277" s="2">
        <f t="shared" si="173"/>
        <v>0</v>
      </c>
      <c r="N277" s="2">
        <f t="shared" ref="N277:N279" si="174">L277+M277</f>
        <v>200</v>
      </c>
    </row>
    <row r="278" spans="1:14" x14ac:dyDescent="0.25">
      <c r="A278" s="17"/>
      <c r="B278" s="332" t="s">
        <v>158</v>
      </c>
      <c r="C278" s="339"/>
      <c r="D278" s="339"/>
      <c r="E278" s="32">
        <v>853</v>
      </c>
      <c r="F278" s="1" t="s">
        <v>18</v>
      </c>
      <c r="G278" s="20" t="s">
        <v>45</v>
      </c>
      <c r="H278" s="1" t="s">
        <v>47</v>
      </c>
      <c r="I278" s="1" t="s">
        <v>159</v>
      </c>
      <c r="J278" s="2">
        <f t="shared" ref="J278:M278" si="175">J279</f>
        <v>200</v>
      </c>
      <c r="K278" s="2">
        <f t="shared" si="175"/>
        <v>0</v>
      </c>
      <c r="L278" s="2">
        <f t="shared" si="139"/>
        <v>200</v>
      </c>
      <c r="M278" s="2">
        <f t="shared" si="175"/>
        <v>0</v>
      </c>
      <c r="N278" s="2">
        <f t="shared" si="174"/>
        <v>200</v>
      </c>
    </row>
    <row r="279" spans="1:14" x14ac:dyDescent="0.25">
      <c r="A279" s="17"/>
      <c r="B279" s="332" t="s">
        <v>160</v>
      </c>
      <c r="C279" s="339"/>
      <c r="D279" s="339"/>
      <c r="E279" s="32">
        <v>853</v>
      </c>
      <c r="F279" s="1" t="s">
        <v>18</v>
      </c>
      <c r="G279" s="20" t="s">
        <v>45</v>
      </c>
      <c r="H279" s="1" t="s">
        <v>47</v>
      </c>
      <c r="I279" s="1" t="s">
        <v>161</v>
      </c>
      <c r="J279" s="2">
        <v>200</v>
      </c>
      <c r="K279" s="2"/>
      <c r="L279" s="2">
        <f t="shared" si="139"/>
        <v>200</v>
      </c>
      <c r="M279" s="2"/>
      <c r="N279" s="2">
        <f t="shared" si="174"/>
        <v>200</v>
      </c>
    </row>
    <row r="280" spans="1:14" s="11" customFormat="1" x14ac:dyDescent="0.25">
      <c r="A280" s="588" t="s">
        <v>162</v>
      </c>
      <c r="B280" s="588"/>
      <c r="C280" s="341"/>
      <c r="D280" s="33"/>
      <c r="E280" s="32">
        <v>853</v>
      </c>
      <c r="F280" s="7" t="s">
        <v>74</v>
      </c>
      <c r="G280" s="7"/>
      <c r="H280" s="7"/>
      <c r="I280" s="7"/>
      <c r="J280" s="9">
        <f t="shared" ref="J280:N283" si="176">J281</f>
        <v>800617</v>
      </c>
      <c r="K280" s="9">
        <f t="shared" si="176"/>
        <v>0</v>
      </c>
      <c r="L280" s="9">
        <f t="shared" si="176"/>
        <v>800617</v>
      </c>
      <c r="M280" s="9">
        <f t="shared" si="176"/>
        <v>-74105</v>
      </c>
      <c r="N280" s="9">
        <f t="shared" si="176"/>
        <v>726512</v>
      </c>
    </row>
    <row r="281" spans="1:14" s="35" customFormat="1" x14ac:dyDescent="0.25">
      <c r="A281" s="590" t="s">
        <v>163</v>
      </c>
      <c r="B281" s="590"/>
      <c r="C281" s="342"/>
      <c r="D281" s="34"/>
      <c r="E281" s="32">
        <v>853</v>
      </c>
      <c r="F281" s="12" t="s">
        <v>74</v>
      </c>
      <c r="G281" s="12" t="s">
        <v>4</v>
      </c>
      <c r="H281" s="12"/>
      <c r="I281" s="12"/>
      <c r="J281" s="14">
        <f t="shared" si="176"/>
        <v>800617</v>
      </c>
      <c r="K281" s="14">
        <f t="shared" si="176"/>
        <v>0</v>
      </c>
      <c r="L281" s="14">
        <f t="shared" si="176"/>
        <v>800617</v>
      </c>
      <c r="M281" s="14">
        <f t="shared" si="176"/>
        <v>-74105</v>
      </c>
      <c r="N281" s="14">
        <f t="shared" si="176"/>
        <v>726512</v>
      </c>
    </row>
    <row r="282" spans="1:14" s="26" customFormat="1" ht="51" customHeight="1" x14ac:dyDescent="0.25">
      <c r="A282" s="595" t="s">
        <v>658</v>
      </c>
      <c r="B282" s="595"/>
      <c r="C282" s="332"/>
      <c r="E282" s="32">
        <v>853</v>
      </c>
      <c r="F282" s="145" t="s">
        <v>74</v>
      </c>
      <c r="G282" s="145" t="s">
        <v>4</v>
      </c>
      <c r="H282" s="145" t="s">
        <v>565</v>
      </c>
      <c r="I282" s="213" t="s">
        <v>164</v>
      </c>
      <c r="J282" s="44">
        <f t="shared" si="176"/>
        <v>800617</v>
      </c>
      <c r="K282" s="44">
        <f t="shared" si="176"/>
        <v>0</v>
      </c>
      <c r="L282" s="2">
        <f t="shared" si="139"/>
        <v>800617</v>
      </c>
      <c r="M282" s="44">
        <f t="shared" si="176"/>
        <v>-74105</v>
      </c>
      <c r="N282" s="2">
        <f t="shared" ref="N282:N284" si="177">L282+M282</f>
        <v>726512</v>
      </c>
    </row>
    <row r="283" spans="1:14" s="26" customFormat="1" x14ac:dyDescent="0.25">
      <c r="A283" s="332"/>
      <c r="B283" s="333" t="s">
        <v>158</v>
      </c>
      <c r="C283" s="332"/>
      <c r="E283" s="32">
        <v>853</v>
      </c>
      <c r="F283" s="145" t="s">
        <v>74</v>
      </c>
      <c r="G283" s="145" t="s">
        <v>4</v>
      </c>
      <c r="H283" s="145" t="s">
        <v>565</v>
      </c>
      <c r="I283" s="145" t="s">
        <v>159</v>
      </c>
      <c r="J283" s="44">
        <f t="shared" si="176"/>
        <v>800617</v>
      </c>
      <c r="K283" s="44">
        <f t="shared" si="176"/>
        <v>0</v>
      </c>
      <c r="L283" s="2">
        <f t="shared" si="139"/>
        <v>800617</v>
      </c>
      <c r="M283" s="44">
        <f t="shared" si="176"/>
        <v>-74105</v>
      </c>
      <c r="N283" s="2">
        <f t="shared" si="177"/>
        <v>726512</v>
      </c>
    </row>
    <row r="284" spans="1:14" s="26" customFormat="1" x14ac:dyDescent="0.25">
      <c r="A284" s="332"/>
      <c r="B284" s="333" t="s">
        <v>160</v>
      </c>
      <c r="C284" s="332"/>
      <c r="E284" s="32">
        <v>853</v>
      </c>
      <c r="F284" s="145" t="s">
        <v>74</v>
      </c>
      <c r="G284" s="145" t="s">
        <v>4</v>
      </c>
      <c r="H284" s="145" t="s">
        <v>565</v>
      </c>
      <c r="I284" s="145" t="s">
        <v>161</v>
      </c>
      <c r="J284" s="44">
        <v>800617</v>
      </c>
      <c r="K284" s="44"/>
      <c r="L284" s="2">
        <f t="shared" si="139"/>
        <v>800617</v>
      </c>
      <c r="M284" s="44">
        <v>-74105</v>
      </c>
      <c r="N284" s="2">
        <f t="shared" si="177"/>
        <v>726512</v>
      </c>
    </row>
    <row r="285" spans="1:14" s="11" customFormat="1" hidden="1" x14ac:dyDescent="0.25">
      <c r="A285" s="588" t="s">
        <v>62</v>
      </c>
      <c r="B285" s="588"/>
      <c r="C285" s="381"/>
      <c r="D285" s="381"/>
      <c r="E285" s="32">
        <v>853</v>
      </c>
      <c r="F285" s="7" t="s">
        <v>7</v>
      </c>
      <c r="G285" s="7"/>
      <c r="H285" s="7"/>
      <c r="I285" s="7"/>
      <c r="J285" s="9">
        <f>J286</f>
        <v>0</v>
      </c>
      <c r="K285" s="9">
        <f t="shared" ref="K285:N288" si="178">K286</f>
        <v>0</v>
      </c>
      <c r="L285" s="9">
        <f t="shared" si="178"/>
        <v>0</v>
      </c>
      <c r="M285" s="9">
        <f t="shared" si="178"/>
        <v>0</v>
      </c>
      <c r="N285" s="9">
        <f t="shared" si="178"/>
        <v>0</v>
      </c>
    </row>
    <row r="286" spans="1:14" s="15" customFormat="1" hidden="1" x14ac:dyDescent="0.25">
      <c r="A286" s="589" t="s">
        <v>372</v>
      </c>
      <c r="B286" s="589"/>
      <c r="C286" s="382"/>
      <c r="D286" s="382"/>
      <c r="E286" s="32">
        <v>853</v>
      </c>
      <c r="F286" s="12" t="s">
        <v>7</v>
      </c>
      <c r="G286" s="12" t="s">
        <v>58</v>
      </c>
      <c r="H286" s="12"/>
      <c r="I286" s="12"/>
      <c r="J286" s="14">
        <f>J287</f>
        <v>0</v>
      </c>
      <c r="K286" s="14">
        <f t="shared" si="178"/>
        <v>0</v>
      </c>
      <c r="L286" s="14">
        <f t="shared" si="178"/>
        <v>0</v>
      </c>
      <c r="M286" s="14">
        <f t="shared" si="178"/>
        <v>0</v>
      </c>
      <c r="N286" s="14">
        <f t="shared" si="178"/>
        <v>0</v>
      </c>
    </row>
    <row r="287" spans="1:14" ht="24.75" hidden="1" customHeight="1" x14ac:dyDescent="0.25">
      <c r="A287" s="583" t="s">
        <v>784</v>
      </c>
      <c r="B287" s="583"/>
      <c r="C287" s="380"/>
      <c r="D287" s="380"/>
      <c r="E287" s="32">
        <v>853</v>
      </c>
      <c r="F287" s="20" t="s">
        <v>7</v>
      </c>
      <c r="G287" s="20" t="s">
        <v>58</v>
      </c>
      <c r="H287" s="20" t="s">
        <v>785</v>
      </c>
      <c r="I287" s="20"/>
      <c r="J287" s="2">
        <f>J288</f>
        <v>0</v>
      </c>
      <c r="K287" s="2">
        <f t="shared" si="178"/>
        <v>0</v>
      </c>
      <c r="L287" s="2">
        <f t="shared" si="178"/>
        <v>0</v>
      </c>
      <c r="M287" s="2">
        <f t="shared" si="178"/>
        <v>0</v>
      </c>
      <c r="N287" s="2">
        <f t="shared" si="178"/>
        <v>0</v>
      </c>
    </row>
    <row r="288" spans="1:14" ht="12.75" hidden="1" customHeight="1" x14ac:dyDescent="0.25">
      <c r="A288" s="380"/>
      <c r="B288" s="379" t="s">
        <v>158</v>
      </c>
      <c r="C288" s="380"/>
      <c r="D288" s="380"/>
      <c r="E288" s="32">
        <v>853</v>
      </c>
      <c r="F288" s="20" t="s">
        <v>7</v>
      </c>
      <c r="G288" s="20" t="s">
        <v>58</v>
      </c>
      <c r="H288" s="20" t="s">
        <v>785</v>
      </c>
      <c r="I288" s="1" t="s">
        <v>159</v>
      </c>
      <c r="J288" s="2">
        <f>J289</f>
        <v>0</v>
      </c>
      <c r="K288" s="2">
        <f t="shared" si="178"/>
        <v>0</v>
      </c>
      <c r="L288" s="2">
        <f t="shared" si="178"/>
        <v>0</v>
      </c>
      <c r="M288" s="2">
        <f t="shared" si="178"/>
        <v>0</v>
      </c>
      <c r="N288" s="2">
        <f t="shared" si="178"/>
        <v>0</v>
      </c>
    </row>
    <row r="289" spans="1:14" ht="12.75" hidden="1" customHeight="1" x14ac:dyDescent="0.25">
      <c r="A289" s="380"/>
      <c r="B289" s="380" t="s">
        <v>171</v>
      </c>
      <c r="C289" s="380"/>
      <c r="D289" s="380"/>
      <c r="E289" s="32">
        <v>853</v>
      </c>
      <c r="F289" s="20" t="s">
        <v>7</v>
      </c>
      <c r="G289" s="20" t="s">
        <v>58</v>
      </c>
      <c r="H289" s="20" t="s">
        <v>785</v>
      </c>
      <c r="I289" s="1" t="s">
        <v>172</v>
      </c>
      <c r="J289" s="2"/>
      <c r="K289" s="396">
        <v>0</v>
      </c>
      <c r="L289" s="2">
        <f>J289+K289</f>
        <v>0</v>
      </c>
      <c r="M289" s="396">
        <v>0</v>
      </c>
      <c r="N289" s="2">
        <f>L289+M289</f>
        <v>0</v>
      </c>
    </row>
    <row r="290" spans="1:14" s="11" customFormat="1" ht="13.5" customHeight="1" x14ac:dyDescent="0.25">
      <c r="A290" s="243" t="s">
        <v>72</v>
      </c>
      <c r="B290" s="475"/>
      <c r="C290" s="475"/>
      <c r="E290" s="32">
        <v>853</v>
      </c>
      <c r="F290" s="39" t="s">
        <v>64</v>
      </c>
      <c r="G290" s="39"/>
      <c r="H290" s="39"/>
      <c r="I290" s="7"/>
      <c r="J290" s="9">
        <f>J291+J298</f>
        <v>0</v>
      </c>
      <c r="K290" s="9">
        <f>K291+K298</f>
        <v>0</v>
      </c>
      <c r="L290" s="9">
        <f>L291+L295</f>
        <v>0</v>
      </c>
      <c r="M290" s="9">
        <f t="shared" ref="M290:N290" si="179">M291+M295</f>
        <v>68404</v>
      </c>
      <c r="N290" s="9">
        <f t="shared" si="179"/>
        <v>68404</v>
      </c>
    </row>
    <row r="291" spans="1:14" s="15" customFormat="1" ht="13.5" customHeight="1" x14ac:dyDescent="0.25">
      <c r="A291" s="584" t="s">
        <v>371</v>
      </c>
      <c r="B291" s="584"/>
      <c r="C291" s="476"/>
      <c r="E291" s="32">
        <v>853</v>
      </c>
      <c r="F291" s="22" t="s">
        <v>64</v>
      </c>
      <c r="G291" s="128" t="s">
        <v>18</v>
      </c>
      <c r="H291" s="22"/>
      <c r="I291" s="12"/>
      <c r="J291" s="14">
        <f>J292</f>
        <v>0</v>
      </c>
      <c r="K291" s="14">
        <f t="shared" ref="K291" si="180">K292</f>
        <v>0</v>
      </c>
      <c r="L291" s="14">
        <f>L292</f>
        <v>0</v>
      </c>
      <c r="M291" s="14">
        <f t="shared" ref="M291:N291" si="181">M292</f>
        <v>68104</v>
      </c>
      <c r="N291" s="14">
        <f t="shared" si="181"/>
        <v>68104</v>
      </c>
    </row>
    <row r="292" spans="1:14" s="15" customFormat="1" ht="74.25" customHeight="1" x14ac:dyDescent="0.25">
      <c r="A292" s="552" t="s">
        <v>830</v>
      </c>
      <c r="B292" s="553"/>
      <c r="C292" s="472"/>
      <c r="D292" s="115"/>
      <c r="E292" s="32">
        <v>853</v>
      </c>
      <c r="F292" s="20" t="s">
        <v>64</v>
      </c>
      <c r="G292" s="127" t="s">
        <v>18</v>
      </c>
      <c r="H292" s="20" t="s">
        <v>831</v>
      </c>
      <c r="I292" s="1"/>
      <c r="J292" s="2"/>
      <c r="K292" s="2"/>
      <c r="L292" s="2">
        <f t="shared" ref="L292:L293" si="182">J292+K292</f>
        <v>0</v>
      </c>
      <c r="M292" s="2">
        <f t="shared" ref="M292:M293" si="183">M293</f>
        <v>68104</v>
      </c>
      <c r="N292" s="2">
        <f t="shared" ref="N292:N294" si="184">L292+M292</f>
        <v>68104</v>
      </c>
    </row>
    <row r="293" spans="1:14" s="15" customFormat="1" ht="14.25" customHeight="1" x14ac:dyDescent="0.25">
      <c r="A293" s="472"/>
      <c r="B293" s="473" t="s">
        <v>158</v>
      </c>
      <c r="C293" s="472"/>
      <c r="D293" s="115"/>
      <c r="E293" s="32">
        <v>853</v>
      </c>
      <c r="F293" s="20" t="s">
        <v>64</v>
      </c>
      <c r="G293" s="127" t="s">
        <v>18</v>
      </c>
      <c r="H293" s="20" t="s">
        <v>831</v>
      </c>
      <c r="I293" s="1" t="s">
        <v>159</v>
      </c>
      <c r="J293" s="2"/>
      <c r="K293" s="2"/>
      <c r="L293" s="2">
        <f t="shared" si="182"/>
        <v>0</v>
      </c>
      <c r="M293" s="2">
        <f t="shared" si="183"/>
        <v>68104</v>
      </c>
      <c r="N293" s="2">
        <f t="shared" si="184"/>
        <v>68104</v>
      </c>
    </row>
    <row r="294" spans="1:14" s="15" customFormat="1" ht="14.25" customHeight="1" x14ac:dyDescent="0.25">
      <c r="A294" s="472"/>
      <c r="B294" s="472" t="s">
        <v>171</v>
      </c>
      <c r="C294" s="472"/>
      <c r="D294" s="115"/>
      <c r="E294" s="32">
        <v>853</v>
      </c>
      <c r="F294" s="20" t="s">
        <v>64</v>
      </c>
      <c r="G294" s="127" t="s">
        <v>18</v>
      </c>
      <c r="H294" s="20" t="s">
        <v>831</v>
      </c>
      <c r="I294" s="1" t="s">
        <v>172</v>
      </c>
      <c r="J294" s="2"/>
      <c r="K294" s="2"/>
      <c r="L294" s="2"/>
      <c r="M294" s="2">
        <v>68104</v>
      </c>
      <c r="N294" s="2">
        <f t="shared" si="184"/>
        <v>68104</v>
      </c>
    </row>
    <row r="295" spans="1:14" s="15" customFormat="1" x14ac:dyDescent="0.25">
      <c r="A295" s="478" t="s">
        <v>73</v>
      </c>
      <c r="B295" s="476"/>
      <c r="C295" s="476"/>
      <c r="E295" s="32">
        <v>853</v>
      </c>
      <c r="F295" s="22" t="s">
        <v>64</v>
      </c>
      <c r="G295" s="22" t="s">
        <v>74</v>
      </c>
      <c r="H295" s="22"/>
      <c r="I295" s="12"/>
      <c r="J295" s="14">
        <f>J296+J299+J302+J305</f>
        <v>190800</v>
      </c>
      <c r="K295" s="14">
        <f t="shared" ref="K295" si="185">K296+K299+K302+K305</f>
        <v>0</v>
      </c>
      <c r="L295" s="14">
        <f>L296</f>
        <v>0</v>
      </c>
      <c r="M295" s="14">
        <f t="shared" ref="M295:N295" si="186">M296</f>
        <v>300</v>
      </c>
      <c r="N295" s="14">
        <f t="shared" si="186"/>
        <v>300</v>
      </c>
    </row>
    <row r="296" spans="1:14" s="15" customFormat="1" ht="50.25" customHeight="1" x14ac:dyDescent="0.25">
      <c r="A296" s="552" t="s">
        <v>835</v>
      </c>
      <c r="B296" s="553"/>
      <c r="C296" s="472"/>
      <c r="D296" s="472"/>
      <c r="E296" s="32">
        <v>853</v>
      </c>
      <c r="F296" s="20" t="s">
        <v>64</v>
      </c>
      <c r="G296" s="20" t="s">
        <v>74</v>
      </c>
      <c r="H296" s="20" t="s">
        <v>834</v>
      </c>
      <c r="I296" s="1"/>
      <c r="J296" s="2"/>
      <c r="K296" s="2"/>
      <c r="L296" s="2">
        <f t="shared" ref="L296:N297" si="187">L297</f>
        <v>0</v>
      </c>
      <c r="M296" s="2">
        <f t="shared" si="187"/>
        <v>300</v>
      </c>
      <c r="N296" s="2">
        <f t="shared" si="187"/>
        <v>300</v>
      </c>
    </row>
    <row r="297" spans="1:14" s="15" customFormat="1" ht="14.25" customHeight="1" x14ac:dyDescent="0.25">
      <c r="A297" s="472"/>
      <c r="B297" s="473" t="s">
        <v>158</v>
      </c>
      <c r="C297" s="472"/>
      <c r="D297" s="472"/>
      <c r="E297" s="32">
        <v>853</v>
      </c>
      <c r="F297" s="20" t="s">
        <v>64</v>
      </c>
      <c r="G297" s="127" t="s">
        <v>74</v>
      </c>
      <c r="H297" s="20" t="s">
        <v>834</v>
      </c>
      <c r="I297" s="1" t="s">
        <v>159</v>
      </c>
      <c r="J297" s="2"/>
      <c r="K297" s="2"/>
      <c r="L297" s="2">
        <f t="shared" ref="L297" si="188">J297+K297</f>
        <v>0</v>
      </c>
      <c r="M297" s="2">
        <f t="shared" si="187"/>
        <v>300</v>
      </c>
      <c r="N297" s="2">
        <f t="shared" ref="N297:N298" si="189">L297+M297</f>
        <v>300</v>
      </c>
    </row>
    <row r="298" spans="1:14" s="15" customFormat="1" ht="14.25" customHeight="1" x14ac:dyDescent="0.25">
      <c r="A298" s="472"/>
      <c r="B298" s="472" t="s">
        <v>171</v>
      </c>
      <c r="C298" s="472"/>
      <c r="D298" s="472"/>
      <c r="E298" s="32">
        <v>853</v>
      </c>
      <c r="F298" s="20" t="s">
        <v>64</v>
      </c>
      <c r="G298" s="127" t="s">
        <v>74</v>
      </c>
      <c r="H298" s="20" t="s">
        <v>834</v>
      </c>
      <c r="I298" s="1" t="s">
        <v>172</v>
      </c>
      <c r="J298" s="2"/>
      <c r="K298" s="2"/>
      <c r="L298" s="2"/>
      <c r="M298" s="2">
        <v>300</v>
      </c>
      <c r="N298" s="2">
        <f t="shared" si="189"/>
        <v>300</v>
      </c>
    </row>
    <row r="299" spans="1:14" x14ac:dyDescent="0.25">
      <c r="A299" s="588" t="s">
        <v>85</v>
      </c>
      <c r="B299" s="588"/>
      <c r="C299" s="338"/>
      <c r="D299" s="338"/>
      <c r="E299" s="32">
        <v>853</v>
      </c>
      <c r="F299" s="7" t="s">
        <v>86</v>
      </c>
      <c r="G299" s="7"/>
      <c r="H299" s="7"/>
      <c r="I299" s="7"/>
      <c r="J299" s="9">
        <f>J300+J304</f>
        <v>95400</v>
      </c>
      <c r="K299" s="9">
        <f t="shared" ref="K299:L299" si="190">K300+K304</f>
        <v>0</v>
      </c>
      <c r="L299" s="9">
        <f t="shared" si="190"/>
        <v>95400</v>
      </c>
      <c r="M299" s="9">
        <f t="shared" ref="M299:N299" si="191">M300+M304</f>
        <v>0</v>
      </c>
      <c r="N299" s="9">
        <f t="shared" si="191"/>
        <v>95400</v>
      </c>
    </row>
    <row r="300" spans="1:14" hidden="1" x14ac:dyDescent="0.25">
      <c r="A300" s="550" t="s">
        <v>87</v>
      </c>
      <c r="B300" s="551"/>
      <c r="C300" s="387"/>
      <c r="D300" s="387"/>
      <c r="E300" s="32">
        <v>853</v>
      </c>
      <c r="F300" s="12" t="s">
        <v>86</v>
      </c>
      <c r="G300" s="12" t="s">
        <v>18</v>
      </c>
      <c r="H300" s="12"/>
      <c r="I300" s="12"/>
      <c r="J300" s="25">
        <f t="shared" ref="J300:N302" si="192">J301</f>
        <v>0</v>
      </c>
      <c r="K300" s="25">
        <f t="shared" si="192"/>
        <v>0</v>
      </c>
      <c r="L300" s="25">
        <f t="shared" si="192"/>
        <v>0</v>
      </c>
      <c r="M300" s="25">
        <f t="shared" si="192"/>
        <v>0</v>
      </c>
      <c r="N300" s="25">
        <f t="shared" si="192"/>
        <v>0</v>
      </c>
    </row>
    <row r="301" spans="1:14" ht="24.75" hidden="1" customHeight="1" x14ac:dyDescent="0.25">
      <c r="A301" s="583" t="s">
        <v>787</v>
      </c>
      <c r="B301" s="583"/>
      <c r="C301" s="386"/>
      <c r="D301" s="386"/>
      <c r="E301" s="32">
        <v>853</v>
      </c>
      <c r="F301" s="1" t="s">
        <v>86</v>
      </c>
      <c r="G301" s="1" t="s">
        <v>18</v>
      </c>
      <c r="H301" s="1" t="s">
        <v>788</v>
      </c>
      <c r="I301" s="1"/>
      <c r="J301" s="2">
        <f t="shared" si="192"/>
        <v>0</v>
      </c>
      <c r="K301" s="2">
        <f t="shared" si="192"/>
        <v>0</v>
      </c>
      <c r="L301" s="2">
        <f t="shared" ref="L301:L303" si="193">J301+K301</f>
        <v>0</v>
      </c>
      <c r="M301" s="2">
        <f t="shared" si="192"/>
        <v>0</v>
      </c>
      <c r="N301" s="2">
        <f t="shared" ref="N301:N303" si="194">L301+M301</f>
        <v>0</v>
      </c>
    </row>
    <row r="302" spans="1:14" hidden="1" x14ac:dyDescent="0.25">
      <c r="A302" s="390"/>
      <c r="B302" s="583" t="s">
        <v>158</v>
      </c>
      <c r="C302" s="583"/>
      <c r="D302" s="388"/>
      <c r="E302" s="32">
        <v>853</v>
      </c>
      <c r="F302" s="1" t="s">
        <v>86</v>
      </c>
      <c r="G302" s="1" t="s">
        <v>18</v>
      </c>
      <c r="H302" s="1" t="s">
        <v>788</v>
      </c>
      <c r="I302" s="1" t="s">
        <v>159</v>
      </c>
      <c r="J302" s="2">
        <f t="shared" si="192"/>
        <v>0</v>
      </c>
      <c r="K302" s="2">
        <f t="shared" si="192"/>
        <v>0</v>
      </c>
      <c r="L302" s="2">
        <f t="shared" si="193"/>
        <v>0</v>
      </c>
      <c r="M302" s="2">
        <f t="shared" si="192"/>
        <v>0</v>
      </c>
      <c r="N302" s="2">
        <f t="shared" si="194"/>
        <v>0</v>
      </c>
    </row>
    <row r="303" spans="1:14" hidden="1" x14ac:dyDescent="0.25">
      <c r="A303" s="390"/>
      <c r="B303" s="384" t="s">
        <v>171</v>
      </c>
      <c r="C303" s="388"/>
      <c r="D303" s="388"/>
      <c r="E303" s="32">
        <v>853</v>
      </c>
      <c r="F303" s="1" t="s">
        <v>86</v>
      </c>
      <c r="G303" s="1" t="s">
        <v>18</v>
      </c>
      <c r="H303" s="1" t="s">
        <v>788</v>
      </c>
      <c r="I303" s="1" t="s">
        <v>172</v>
      </c>
      <c r="J303" s="2">
        <v>0</v>
      </c>
      <c r="K303" s="396"/>
      <c r="L303" s="2">
        <f t="shared" si="193"/>
        <v>0</v>
      </c>
      <c r="M303" s="396"/>
      <c r="N303" s="2">
        <f t="shared" si="194"/>
        <v>0</v>
      </c>
    </row>
    <row r="304" spans="1:14" x14ac:dyDescent="0.25">
      <c r="A304" s="589" t="s">
        <v>101</v>
      </c>
      <c r="B304" s="589"/>
      <c r="C304" s="334"/>
      <c r="D304" s="334"/>
      <c r="E304" s="32">
        <v>853</v>
      </c>
      <c r="F304" s="12" t="s">
        <v>86</v>
      </c>
      <c r="G304" s="12" t="s">
        <v>7</v>
      </c>
      <c r="H304" s="12"/>
      <c r="I304" s="12"/>
      <c r="J304" s="25">
        <f t="shared" ref="J304:N306" si="195">J305</f>
        <v>95400</v>
      </c>
      <c r="K304" s="25">
        <f t="shared" si="195"/>
        <v>0</v>
      </c>
      <c r="L304" s="25">
        <f t="shared" si="195"/>
        <v>95400</v>
      </c>
      <c r="M304" s="25">
        <f t="shared" si="195"/>
        <v>0</v>
      </c>
      <c r="N304" s="25">
        <f t="shared" si="195"/>
        <v>95400</v>
      </c>
    </row>
    <row r="305" spans="1:14" ht="38.25" customHeight="1" x14ac:dyDescent="0.25">
      <c r="A305" s="583" t="s">
        <v>88</v>
      </c>
      <c r="B305" s="583"/>
      <c r="C305" s="333"/>
      <c r="D305" s="333"/>
      <c r="E305" s="289">
        <v>853</v>
      </c>
      <c r="F305" s="1" t="s">
        <v>86</v>
      </c>
      <c r="G305" s="1" t="s">
        <v>7</v>
      </c>
      <c r="H305" s="1" t="s">
        <v>165</v>
      </c>
      <c r="I305" s="1"/>
      <c r="J305" s="2">
        <f t="shared" si="195"/>
        <v>95400</v>
      </c>
      <c r="K305" s="2">
        <f t="shared" si="195"/>
        <v>0</v>
      </c>
      <c r="L305" s="2">
        <f t="shared" si="139"/>
        <v>95400</v>
      </c>
      <c r="M305" s="2">
        <f t="shared" si="195"/>
        <v>0</v>
      </c>
      <c r="N305" s="2">
        <f t="shared" ref="N305:N307" si="196">L305+M305</f>
        <v>95400</v>
      </c>
    </row>
    <row r="306" spans="1:14" x14ac:dyDescent="0.25">
      <c r="A306" s="17"/>
      <c r="B306" s="333" t="s">
        <v>158</v>
      </c>
      <c r="C306" s="332"/>
      <c r="D306" s="332"/>
      <c r="E306" s="32">
        <v>853</v>
      </c>
      <c r="F306" s="1" t="s">
        <v>86</v>
      </c>
      <c r="G306" s="1" t="s">
        <v>7</v>
      </c>
      <c r="H306" s="1" t="s">
        <v>165</v>
      </c>
      <c r="I306" s="1" t="s">
        <v>159</v>
      </c>
      <c r="J306" s="2">
        <f t="shared" si="195"/>
        <v>95400</v>
      </c>
      <c r="K306" s="2">
        <f t="shared" si="195"/>
        <v>0</v>
      </c>
      <c r="L306" s="2">
        <f t="shared" si="139"/>
        <v>95400</v>
      </c>
      <c r="M306" s="2">
        <f t="shared" si="195"/>
        <v>0</v>
      </c>
      <c r="N306" s="2">
        <f t="shared" si="196"/>
        <v>95400</v>
      </c>
    </row>
    <row r="307" spans="1:14" x14ac:dyDescent="0.25">
      <c r="A307" s="333"/>
      <c r="B307" s="333" t="s">
        <v>160</v>
      </c>
      <c r="C307" s="333"/>
      <c r="D307" s="333"/>
      <c r="E307" s="32">
        <v>853</v>
      </c>
      <c r="F307" s="1" t="s">
        <v>86</v>
      </c>
      <c r="G307" s="1" t="s">
        <v>7</v>
      </c>
      <c r="H307" s="1" t="s">
        <v>165</v>
      </c>
      <c r="I307" s="1" t="s">
        <v>161</v>
      </c>
      <c r="J307" s="2">
        <v>95400</v>
      </c>
      <c r="K307" s="2"/>
      <c r="L307" s="2">
        <f t="shared" ref="L307:L350" si="197">J307+K307</f>
        <v>95400</v>
      </c>
      <c r="M307" s="2"/>
      <c r="N307" s="2">
        <f t="shared" si="196"/>
        <v>95400</v>
      </c>
    </row>
    <row r="308" spans="1:14" ht="28.5" customHeight="1" x14ac:dyDescent="0.25">
      <c r="A308" s="588" t="s">
        <v>166</v>
      </c>
      <c r="B308" s="588"/>
      <c r="C308" s="338"/>
      <c r="D308" s="338"/>
      <c r="E308" s="32">
        <v>853</v>
      </c>
      <c r="F308" s="39" t="s">
        <v>167</v>
      </c>
      <c r="G308" s="39"/>
      <c r="H308" s="39"/>
      <c r="I308" s="39"/>
      <c r="J308" s="41">
        <f t="shared" ref="J308:K308" si="198">J309+J315</f>
        <v>14489000</v>
      </c>
      <c r="K308" s="41">
        <f t="shared" si="198"/>
        <v>0</v>
      </c>
      <c r="L308" s="41">
        <f t="shared" ref="L308:M308" si="199">L309+L315</f>
        <v>14489000</v>
      </c>
      <c r="M308" s="41">
        <f t="shared" si="199"/>
        <v>-660700</v>
      </c>
      <c r="N308" s="41">
        <f t="shared" ref="N308" si="200">N309+N315</f>
        <v>13828300</v>
      </c>
    </row>
    <row r="309" spans="1:14" ht="24" customHeight="1" x14ac:dyDescent="0.25">
      <c r="A309" s="589" t="s">
        <v>168</v>
      </c>
      <c r="B309" s="589"/>
      <c r="C309" s="334"/>
      <c r="D309" s="334"/>
      <c r="E309" s="32">
        <v>853</v>
      </c>
      <c r="F309" s="22" t="s">
        <v>167</v>
      </c>
      <c r="G309" s="22" t="s">
        <v>18</v>
      </c>
      <c r="H309" s="212"/>
      <c r="I309" s="22"/>
      <c r="J309" s="43">
        <f t="shared" ref="J309:N310" si="201">J310</f>
        <v>5882000</v>
      </c>
      <c r="K309" s="43">
        <f t="shared" si="201"/>
        <v>0</v>
      </c>
      <c r="L309" s="43">
        <f t="shared" si="201"/>
        <v>5882000</v>
      </c>
      <c r="M309" s="43">
        <f t="shared" si="201"/>
        <v>0</v>
      </c>
      <c r="N309" s="43">
        <f t="shared" si="201"/>
        <v>5882000</v>
      </c>
    </row>
    <row r="310" spans="1:14" x14ac:dyDescent="0.25">
      <c r="A310" s="583" t="s">
        <v>169</v>
      </c>
      <c r="B310" s="583"/>
      <c r="C310" s="334"/>
      <c r="D310" s="334"/>
      <c r="E310" s="32">
        <v>853</v>
      </c>
      <c r="F310" s="22" t="s">
        <v>167</v>
      </c>
      <c r="G310" s="22" t="s">
        <v>18</v>
      </c>
      <c r="H310" s="20" t="s">
        <v>170</v>
      </c>
      <c r="I310" s="22"/>
      <c r="J310" s="44">
        <f t="shared" si="201"/>
        <v>5882000</v>
      </c>
      <c r="K310" s="44">
        <f t="shared" si="201"/>
        <v>0</v>
      </c>
      <c r="L310" s="2">
        <f t="shared" si="197"/>
        <v>5882000</v>
      </c>
      <c r="M310" s="44">
        <f t="shared" si="201"/>
        <v>0</v>
      </c>
      <c r="N310" s="2">
        <f t="shared" ref="N310" si="202">L310+M310</f>
        <v>5882000</v>
      </c>
    </row>
    <row r="311" spans="1:14" x14ac:dyDescent="0.25">
      <c r="A311" s="17"/>
      <c r="B311" s="332" t="s">
        <v>158</v>
      </c>
      <c r="C311" s="339"/>
      <c r="D311" s="339"/>
      <c r="E311" s="32">
        <v>853</v>
      </c>
      <c r="F311" s="1" t="s">
        <v>167</v>
      </c>
      <c r="G311" s="1" t="s">
        <v>18</v>
      </c>
      <c r="H311" s="20" t="s">
        <v>170</v>
      </c>
      <c r="I311" s="1" t="s">
        <v>159</v>
      </c>
      <c r="J311" s="2">
        <f>J312+J314</f>
        <v>5882000</v>
      </c>
      <c r="K311" s="2">
        <f t="shared" ref="K311:L311" si="203">K312+K314</f>
        <v>0</v>
      </c>
      <c r="L311" s="2">
        <f t="shared" si="203"/>
        <v>5882000</v>
      </c>
      <c r="M311" s="2">
        <f t="shared" ref="M311:N311" si="204">M312+M314</f>
        <v>0</v>
      </c>
      <c r="N311" s="2">
        <f t="shared" si="204"/>
        <v>5882000</v>
      </c>
    </row>
    <row r="312" spans="1:14" x14ac:dyDescent="0.25">
      <c r="A312" s="17"/>
      <c r="B312" s="383" t="s">
        <v>759</v>
      </c>
      <c r="C312" s="389"/>
      <c r="D312" s="389"/>
      <c r="E312" s="32">
        <v>853</v>
      </c>
      <c r="F312" s="1" t="s">
        <v>167</v>
      </c>
      <c r="G312" s="126" t="s">
        <v>18</v>
      </c>
      <c r="H312" s="20" t="s">
        <v>170</v>
      </c>
      <c r="I312" s="1" t="s">
        <v>760</v>
      </c>
      <c r="J312" s="2">
        <f>J313</f>
        <v>0</v>
      </c>
      <c r="K312" s="2">
        <f t="shared" ref="K312:N312" si="205">K313</f>
        <v>5882000</v>
      </c>
      <c r="L312" s="2">
        <f t="shared" si="205"/>
        <v>5882000</v>
      </c>
      <c r="M312" s="2">
        <f t="shared" si="205"/>
        <v>0</v>
      </c>
      <c r="N312" s="2">
        <f t="shared" si="205"/>
        <v>5882000</v>
      </c>
    </row>
    <row r="313" spans="1:14" x14ac:dyDescent="0.25">
      <c r="A313" s="17"/>
      <c r="B313" s="383" t="s">
        <v>282</v>
      </c>
      <c r="C313" s="389"/>
      <c r="D313" s="389"/>
      <c r="E313" s="32">
        <v>853</v>
      </c>
      <c r="F313" s="1" t="s">
        <v>167</v>
      </c>
      <c r="G313" s="126" t="s">
        <v>18</v>
      </c>
      <c r="H313" s="20" t="s">
        <v>170</v>
      </c>
      <c r="I313" s="1" t="s">
        <v>758</v>
      </c>
      <c r="J313" s="2"/>
      <c r="K313" s="2">
        <v>5882000</v>
      </c>
      <c r="L313" s="2">
        <f t="shared" si="197"/>
        <v>5882000</v>
      </c>
      <c r="M313" s="2"/>
      <c r="N313" s="2">
        <f t="shared" ref="N313:N314" si="206">L313+M313</f>
        <v>5882000</v>
      </c>
    </row>
    <row r="314" spans="1:14" hidden="1" x14ac:dyDescent="0.25">
      <c r="A314" s="17"/>
      <c r="B314" s="333" t="s">
        <v>171</v>
      </c>
      <c r="C314" s="336"/>
      <c r="D314" s="336"/>
      <c r="E314" s="32">
        <v>853</v>
      </c>
      <c r="F314" s="1" t="s">
        <v>167</v>
      </c>
      <c r="G314" s="1" t="s">
        <v>18</v>
      </c>
      <c r="H314" s="20" t="s">
        <v>170</v>
      </c>
      <c r="I314" s="1" t="s">
        <v>172</v>
      </c>
      <c r="J314" s="2">
        <v>5882000</v>
      </c>
      <c r="K314" s="2">
        <v>-5882000</v>
      </c>
      <c r="L314" s="2">
        <f t="shared" si="197"/>
        <v>0</v>
      </c>
      <c r="M314" s="2"/>
      <c r="N314" s="2">
        <f t="shared" si="206"/>
        <v>0</v>
      </c>
    </row>
    <row r="315" spans="1:14" x14ac:dyDescent="0.25">
      <c r="A315" s="584" t="s">
        <v>173</v>
      </c>
      <c r="B315" s="584"/>
      <c r="C315" s="340"/>
      <c r="D315" s="340"/>
      <c r="E315" s="32">
        <v>853</v>
      </c>
      <c r="F315" s="12" t="s">
        <v>167</v>
      </c>
      <c r="G315" s="12" t="s">
        <v>74</v>
      </c>
      <c r="H315" s="12"/>
      <c r="I315" s="12"/>
      <c r="J315" s="14">
        <f>J316</f>
        <v>8607000</v>
      </c>
      <c r="K315" s="14">
        <f t="shared" ref="K315" si="207">K316</f>
        <v>0</v>
      </c>
      <c r="L315" s="14">
        <f>L316+L321</f>
        <v>8607000</v>
      </c>
      <c r="M315" s="14">
        <f t="shared" ref="M315:N315" si="208">M316+M321</f>
        <v>-660700</v>
      </c>
      <c r="N315" s="14">
        <f t="shared" si="208"/>
        <v>7946300</v>
      </c>
    </row>
    <row r="316" spans="1:14" ht="14.25" customHeight="1" x14ac:dyDescent="0.25">
      <c r="A316" s="591" t="s">
        <v>174</v>
      </c>
      <c r="B316" s="591"/>
      <c r="C316" s="339"/>
      <c r="D316" s="339"/>
      <c r="E316" s="32">
        <v>853</v>
      </c>
      <c r="F316" s="1" t="s">
        <v>167</v>
      </c>
      <c r="G316" s="1" t="s">
        <v>74</v>
      </c>
      <c r="H316" s="1" t="s">
        <v>175</v>
      </c>
      <c r="I316" s="1"/>
      <c r="J316" s="2">
        <f t="shared" ref="J316:N317" si="209">J317</f>
        <v>8607000</v>
      </c>
      <c r="K316" s="2">
        <f t="shared" si="209"/>
        <v>0</v>
      </c>
      <c r="L316" s="2">
        <f t="shared" si="197"/>
        <v>8607000</v>
      </c>
      <c r="M316" s="2">
        <f t="shared" si="209"/>
        <v>-860700</v>
      </c>
      <c r="N316" s="2">
        <f t="shared" ref="N316" si="210">L316+M316</f>
        <v>7746300</v>
      </c>
    </row>
    <row r="317" spans="1:14" x14ac:dyDescent="0.25">
      <c r="A317" s="17"/>
      <c r="B317" s="332" t="s">
        <v>158</v>
      </c>
      <c r="C317" s="49"/>
      <c r="D317" s="339"/>
      <c r="E317" s="32">
        <v>853</v>
      </c>
      <c r="F317" s="1" t="s">
        <v>167</v>
      </c>
      <c r="G317" s="1" t="s">
        <v>74</v>
      </c>
      <c r="H317" s="1" t="s">
        <v>175</v>
      </c>
      <c r="I317" s="1" t="s">
        <v>159</v>
      </c>
      <c r="J317" s="2">
        <f>J318</f>
        <v>8607000</v>
      </c>
      <c r="K317" s="2">
        <f t="shared" si="209"/>
        <v>0</v>
      </c>
      <c r="L317" s="2">
        <f t="shared" si="209"/>
        <v>8607000</v>
      </c>
      <c r="M317" s="2">
        <f t="shared" si="209"/>
        <v>-860700</v>
      </c>
      <c r="N317" s="2">
        <f t="shared" si="209"/>
        <v>7746300</v>
      </c>
    </row>
    <row r="318" spans="1:14" x14ac:dyDescent="0.25">
      <c r="A318" s="17"/>
      <c r="B318" s="421" t="s">
        <v>794</v>
      </c>
      <c r="C318" s="49"/>
      <c r="D318" s="422"/>
      <c r="E318" s="32">
        <v>853</v>
      </c>
      <c r="F318" s="1" t="s">
        <v>167</v>
      </c>
      <c r="G318" s="1" t="s">
        <v>74</v>
      </c>
      <c r="H318" s="1" t="s">
        <v>175</v>
      </c>
      <c r="I318" s="1" t="s">
        <v>760</v>
      </c>
      <c r="J318" s="2">
        <f>J319+J320</f>
        <v>8607000</v>
      </c>
      <c r="K318" s="2">
        <f t="shared" ref="K318:L318" si="211">K319+K320</f>
        <v>0</v>
      </c>
      <c r="L318" s="2">
        <f t="shared" si="211"/>
        <v>8607000</v>
      </c>
      <c r="M318" s="2">
        <f t="shared" ref="M318:N318" si="212">M319+M320</f>
        <v>-860700</v>
      </c>
      <c r="N318" s="2">
        <f t="shared" si="212"/>
        <v>7746300</v>
      </c>
    </row>
    <row r="319" spans="1:14" x14ac:dyDescent="0.25">
      <c r="A319" s="17"/>
      <c r="B319" s="419" t="s">
        <v>173</v>
      </c>
      <c r="C319" s="49"/>
      <c r="D319" s="420"/>
      <c r="E319" s="32">
        <v>853</v>
      </c>
      <c r="F319" s="1" t="s">
        <v>167</v>
      </c>
      <c r="G319" s="1" t="s">
        <v>74</v>
      </c>
      <c r="H319" s="1" t="s">
        <v>175</v>
      </c>
      <c r="I319" s="1" t="s">
        <v>793</v>
      </c>
      <c r="J319" s="2"/>
      <c r="K319" s="2">
        <v>8607000</v>
      </c>
      <c r="L319" s="2">
        <f t="shared" si="197"/>
        <v>8607000</v>
      </c>
      <c r="M319" s="2">
        <v>-860700</v>
      </c>
      <c r="N319" s="2">
        <f t="shared" ref="N319:N328" si="213">L319+M319</f>
        <v>7746300</v>
      </c>
    </row>
    <row r="320" spans="1:14" hidden="1" x14ac:dyDescent="0.25">
      <c r="A320" s="17"/>
      <c r="B320" s="333" t="s">
        <v>171</v>
      </c>
      <c r="C320" s="47"/>
      <c r="D320" s="336"/>
      <c r="E320" s="32">
        <v>853</v>
      </c>
      <c r="F320" s="1" t="s">
        <v>167</v>
      </c>
      <c r="G320" s="1" t="s">
        <v>74</v>
      </c>
      <c r="H320" s="1" t="s">
        <v>175</v>
      </c>
      <c r="I320" s="1" t="s">
        <v>172</v>
      </c>
      <c r="J320" s="2">
        <v>8607000</v>
      </c>
      <c r="K320" s="2">
        <v>-8607000</v>
      </c>
      <c r="L320" s="2">
        <f t="shared" si="197"/>
        <v>0</v>
      </c>
      <c r="M320" s="2"/>
      <c r="N320" s="2">
        <f t="shared" si="213"/>
        <v>0</v>
      </c>
    </row>
    <row r="321" spans="1:14" ht="12.75" x14ac:dyDescent="0.25">
      <c r="A321" s="568" t="s">
        <v>836</v>
      </c>
      <c r="B321" s="569"/>
      <c r="C321" s="115"/>
      <c r="D321" s="115"/>
      <c r="E321" s="32">
        <v>853</v>
      </c>
      <c r="F321" s="491" t="s">
        <v>167</v>
      </c>
      <c r="G321" s="491" t="s">
        <v>74</v>
      </c>
      <c r="H321" s="491" t="s">
        <v>837</v>
      </c>
      <c r="I321" s="491"/>
      <c r="J321" s="2"/>
      <c r="K321" s="2"/>
      <c r="L321" s="2">
        <f t="shared" ref="L321:N321" si="214">L322+L325</f>
        <v>0</v>
      </c>
      <c r="M321" s="2">
        <f t="shared" si="214"/>
        <v>200000</v>
      </c>
      <c r="N321" s="2">
        <f t="shared" si="214"/>
        <v>200000</v>
      </c>
    </row>
    <row r="322" spans="1:14" ht="12.75" x14ac:dyDescent="0.25">
      <c r="A322" s="477"/>
      <c r="B322" s="482" t="s">
        <v>158</v>
      </c>
      <c r="C322" s="115"/>
      <c r="D322" s="115"/>
      <c r="E322" s="32">
        <v>853</v>
      </c>
      <c r="F322" s="491" t="s">
        <v>167</v>
      </c>
      <c r="G322" s="491" t="s">
        <v>74</v>
      </c>
      <c r="H322" s="491" t="s">
        <v>837</v>
      </c>
      <c r="I322" s="491" t="s">
        <v>159</v>
      </c>
      <c r="J322" s="2"/>
      <c r="K322" s="2"/>
      <c r="L322" s="2">
        <f t="shared" ref="L322:N322" si="215">L324</f>
        <v>0</v>
      </c>
      <c r="M322" s="2">
        <f t="shared" si="215"/>
        <v>200000</v>
      </c>
      <c r="N322" s="2">
        <f t="shared" si="215"/>
        <v>200000</v>
      </c>
    </row>
    <row r="323" spans="1:14" ht="12.75" x14ac:dyDescent="0.25">
      <c r="A323" s="486"/>
      <c r="B323" s="487" t="s">
        <v>794</v>
      </c>
      <c r="C323" s="115"/>
      <c r="D323" s="115"/>
      <c r="E323" s="32">
        <v>853</v>
      </c>
      <c r="F323" s="491" t="s">
        <v>167</v>
      </c>
      <c r="G323" s="491" t="s">
        <v>74</v>
      </c>
      <c r="H323" s="491" t="s">
        <v>837</v>
      </c>
      <c r="I323" s="491" t="s">
        <v>760</v>
      </c>
      <c r="J323" s="2"/>
      <c r="K323" s="2"/>
      <c r="L323" s="2">
        <f>L324</f>
        <v>0</v>
      </c>
      <c r="M323" s="2">
        <f t="shared" ref="M323:N323" si="216">M324</f>
        <v>200000</v>
      </c>
      <c r="N323" s="2">
        <f t="shared" si="216"/>
        <v>200000</v>
      </c>
    </row>
    <row r="324" spans="1:14" ht="12.75" x14ac:dyDescent="0.25">
      <c r="A324" s="477"/>
      <c r="B324" s="473" t="s">
        <v>173</v>
      </c>
      <c r="C324" s="115"/>
      <c r="D324" s="115"/>
      <c r="E324" s="32">
        <v>853</v>
      </c>
      <c r="F324" s="491" t="s">
        <v>167</v>
      </c>
      <c r="G324" s="491" t="s">
        <v>74</v>
      </c>
      <c r="H324" s="491" t="s">
        <v>837</v>
      </c>
      <c r="I324" s="491" t="s">
        <v>793</v>
      </c>
      <c r="J324" s="2"/>
      <c r="K324" s="2"/>
      <c r="L324" s="2">
        <v>0</v>
      </c>
      <c r="M324" s="2">
        <v>200000</v>
      </c>
      <c r="N324" s="2">
        <f t="shared" ref="N324" si="217">L324+M324</f>
        <v>200000</v>
      </c>
    </row>
    <row r="325" spans="1:14" ht="15" hidden="1" customHeight="1" x14ac:dyDescent="0.25">
      <c r="A325" s="589" t="s">
        <v>181</v>
      </c>
      <c r="B325" s="589"/>
      <c r="E325" s="215">
        <v>853</v>
      </c>
      <c r="F325" s="488" t="s">
        <v>182</v>
      </c>
      <c r="G325" s="489" t="s">
        <v>164</v>
      </c>
      <c r="H325" s="342" t="s">
        <v>164</v>
      </c>
      <c r="I325" s="342" t="s">
        <v>164</v>
      </c>
      <c r="J325" s="14">
        <f t="shared" ref="J325:M327" si="218">J326</f>
        <v>0</v>
      </c>
      <c r="K325" s="14">
        <f t="shared" si="218"/>
        <v>0</v>
      </c>
      <c r="L325" s="2">
        <f t="shared" si="197"/>
        <v>0</v>
      </c>
      <c r="M325" s="14">
        <f t="shared" si="218"/>
        <v>0</v>
      </c>
      <c r="N325" s="2">
        <f t="shared" si="213"/>
        <v>0</v>
      </c>
    </row>
    <row r="326" spans="1:14" ht="15" hidden="1" customHeight="1" x14ac:dyDescent="0.25">
      <c r="A326" s="589" t="s">
        <v>181</v>
      </c>
      <c r="B326" s="589"/>
      <c r="E326" s="32">
        <v>853</v>
      </c>
      <c r="F326" s="144" t="s">
        <v>182</v>
      </c>
      <c r="G326" s="268" t="s">
        <v>182</v>
      </c>
      <c r="H326" s="342" t="s">
        <v>164</v>
      </c>
      <c r="I326" s="342" t="s">
        <v>164</v>
      </c>
      <c r="J326" s="14">
        <f t="shared" si="218"/>
        <v>0</v>
      </c>
      <c r="K326" s="14">
        <f t="shared" si="218"/>
        <v>0</v>
      </c>
      <c r="L326" s="2">
        <f t="shared" si="197"/>
        <v>0</v>
      </c>
      <c r="M326" s="14">
        <f t="shared" si="218"/>
        <v>0</v>
      </c>
      <c r="N326" s="2">
        <f t="shared" si="213"/>
        <v>0</v>
      </c>
    </row>
    <row r="327" spans="1:14" hidden="1" x14ac:dyDescent="0.25">
      <c r="A327" s="17"/>
      <c r="B327" s="333" t="s">
        <v>181</v>
      </c>
      <c r="E327" s="32">
        <v>853</v>
      </c>
      <c r="F327" s="145" t="s">
        <v>182</v>
      </c>
      <c r="G327" s="146" t="s">
        <v>182</v>
      </c>
      <c r="H327" s="289" t="s">
        <v>183</v>
      </c>
      <c r="I327" s="332" t="s">
        <v>164</v>
      </c>
      <c r="J327" s="2">
        <f t="shared" si="218"/>
        <v>0</v>
      </c>
      <c r="K327" s="2">
        <f t="shared" si="218"/>
        <v>0</v>
      </c>
      <c r="L327" s="2">
        <f t="shared" si="197"/>
        <v>0</v>
      </c>
      <c r="M327" s="2">
        <f t="shared" si="218"/>
        <v>0</v>
      </c>
      <c r="N327" s="2">
        <f t="shared" si="213"/>
        <v>0</v>
      </c>
    </row>
    <row r="328" spans="1:14" hidden="1" x14ac:dyDescent="0.25">
      <c r="A328" s="17"/>
      <c r="B328" s="333" t="s">
        <v>181</v>
      </c>
      <c r="E328" s="32">
        <v>853</v>
      </c>
      <c r="F328" s="145" t="s">
        <v>182</v>
      </c>
      <c r="G328" s="146" t="s">
        <v>182</v>
      </c>
      <c r="H328" s="289" t="s">
        <v>183</v>
      </c>
      <c r="I328" s="289" t="s">
        <v>184</v>
      </c>
      <c r="J328" s="2"/>
      <c r="K328" s="2"/>
      <c r="L328" s="2">
        <f t="shared" si="197"/>
        <v>0</v>
      </c>
      <c r="M328" s="2"/>
      <c r="N328" s="2">
        <f t="shared" si="213"/>
        <v>0</v>
      </c>
    </row>
    <row r="329" spans="1:14" s="11" customFormat="1" ht="17.25" customHeight="1" x14ac:dyDescent="0.25">
      <c r="A329" s="592" t="s">
        <v>176</v>
      </c>
      <c r="B329" s="592"/>
      <c r="C329" s="46"/>
      <c r="D329" s="46"/>
      <c r="E329" s="344">
        <v>854</v>
      </c>
      <c r="F329" s="346"/>
      <c r="G329" s="7"/>
      <c r="H329" s="7"/>
      <c r="I329" s="7"/>
      <c r="J329" s="9">
        <f t="shared" ref="J329:N329" si="219">J330</f>
        <v>1416920</v>
      </c>
      <c r="K329" s="9">
        <f t="shared" si="219"/>
        <v>0</v>
      </c>
      <c r="L329" s="9">
        <f t="shared" si="219"/>
        <v>1416920</v>
      </c>
      <c r="M329" s="9">
        <f t="shared" si="219"/>
        <v>0</v>
      </c>
      <c r="N329" s="9">
        <f t="shared" si="219"/>
        <v>1416920</v>
      </c>
    </row>
    <row r="330" spans="1:14" s="11" customFormat="1" x14ac:dyDescent="0.25">
      <c r="A330" s="588" t="s">
        <v>17</v>
      </c>
      <c r="B330" s="588"/>
      <c r="C330" s="364"/>
      <c r="D330" s="364"/>
      <c r="E330" s="374">
        <v>854</v>
      </c>
      <c r="F330" s="7" t="s">
        <v>18</v>
      </c>
      <c r="G330" s="7"/>
      <c r="H330" s="7"/>
      <c r="I330" s="7"/>
      <c r="J330" s="9">
        <f>J331+J335</f>
        <v>1416920</v>
      </c>
      <c r="K330" s="9">
        <f t="shared" ref="K330:L330" si="220">K331+K335</f>
        <v>0</v>
      </c>
      <c r="L330" s="9">
        <f t="shared" si="220"/>
        <v>1416920</v>
      </c>
      <c r="M330" s="9">
        <f t="shared" ref="M330:N330" si="221">M331+M335</f>
        <v>0</v>
      </c>
      <c r="N330" s="9">
        <f t="shared" si="221"/>
        <v>1416920</v>
      </c>
    </row>
    <row r="331" spans="1:14" s="11" customFormat="1" ht="24" customHeight="1" x14ac:dyDescent="0.25">
      <c r="A331" s="572" t="s">
        <v>581</v>
      </c>
      <c r="B331" s="573"/>
      <c r="C331" s="341"/>
      <c r="D331" s="341"/>
      <c r="E331" s="289">
        <v>854</v>
      </c>
      <c r="F331" s="12" t="s">
        <v>18</v>
      </c>
      <c r="G331" s="12" t="s">
        <v>74</v>
      </c>
      <c r="H331" s="12"/>
      <c r="I331" s="12"/>
      <c r="J331" s="14">
        <f t="shared" ref="J331:N333" si="222">J332</f>
        <v>789500</v>
      </c>
      <c r="K331" s="14">
        <f t="shared" si="222"/>
        <v>0</v>
      </c>
      <c r="L331" s="14">
        <f t="shared" si="222"/>
        <v>789500</v>
      </c>
      <c r="M331" s="14">
        <f t="shared" si="222"/>
        <v>0</v>
      </c>
      <c r="N331" s="14">
        <f t="shared" si="222"/>
        <v>789500</v>
      </c>
    </row>
    <row r="332" spans="1:14" x14ac:dyDescent="0.25">
      <c r="A332" s="552" t="s">
        <v>582</v>
      </c>
      <c r="B332" s="553"/>
      <c r="C332" s="333"/>
      <c r="D332" s="333"/>
      <c r="E332" s="289">
        <v>854</v>
      </c>
      <c r="F332" s="1" t="s">
        <v>23</v>
      </c>
      <c r="G332" s="1" t="s">
        <v>74</v>
      </c>
      <c r="H332" s="1" t="s">
        <v>583</v>
      </c>
      <c r="I332" s="1"/>
      <c r="J332" s="2">
        <f t="shared" si="222"/>
        <v>789500</v>
      </c>
      <c r="K332" s="2">
        <f t="shared" si="222"/>
        <v>0</v>
      </c>
      <c r="L332" s="2">
        <f t="shared" si="197"/>
        <v>789500</v>
      </c>
      <c r="M332" s="2">
        <f t="shared" si="222"/>
        <v>0</v>
      </c>
      <c r="N332" s="2">
        <f t="shared" ref="N332:N334" si="223">L332+M332</f>
        <v>789500</v>
      </c>
    </row>
    <row r="333" spans="1:14" s="11" customFormat="1" ht="38.25" customHeight="1" x14ac:dyDescent="0.25">
      <c r="A333" s="341"/>
      <c r="B333" s="332" t="s">
        <v>22</v>
      </c>
      <c r="C333" s="341"/>
      <c r="D333" s="341"/>
      <c r="E333" s="289">
        <v>854</v>
      </c>
      <c r="F333" s="1" t="s">
        <v>18</v>
      </c>
      <c r="G333" s="1" t="s">
        <v>74</v>
      </c>
      <c r="H333" s="1" t="s">
        <v>583</v>
      </c>
      <c r="I333" s="1" t="s">
        <v>24</v>
      </c>
      <c r="J333" s="2">
        <f t="shared" si="222"/>
        <v>789500</v>
      </c>
      <c r="K333" s="2">
        <f t="shared" si="222"/>
        <v>0</v>
      </c>
      <c r="L333" s="2">
        <f t="shared" si="197"/>
        <v>789500</v>
      </c>
      <c r="M333" s="2">
        <f t="shared" si="222"/>
        <v>0</v>
      </c>
      <c r="N333" s="2">
        <f t="shared" si="223"/>
        <v>789500</v>
      </c>
    </row>
    <row r="334" spans="1:14" s="11" customFormat="1" ht="14.25" customHeight="1" x14ac:dyDescent="0.25">
      <c r="A334" s="341"/>
      <c r="B334" s="332" t="s">
        <v>25</v>
      </c>
      <c r="C334" s="341"/>
      <c r="D334" s="341"/>
      <c r="E334" s="289">
        <v>854</v>
      </c>
      <c r="F334" s="1" t="s">
        <v>18</v>
      </c>
      <c r="G334" s="1" t="s">
        <v>74</v>
      </c>
      <c r="H334" s="1" t="s">
        <v>583</v>
      </c>
      <c r="I334" s="1" t="s">
        <v>26</v>
      </c>
      <c r="J334" s="2">
        <f>759700+29800</f>
        <v>789500</v>
      </c>
      <c r="K334" s="2"/>
      <c r="L334" s="2">
        <f t="shared" si="197"/>
        <v>789500</v>
      </c>
      <c r="M334" s="2"/>
      <c r="N334" s="2">
        <f t="shared" si="223"/>
        <v>789500</v>
      </c>
    </row>
    <row r="335" spans="1:14" s="15" customFormat="1" ht="39" customHeight="1" x14ac:dyDescent="0.25">
      <c r="A335" s="589" t="s">
        <v>177</v>
      </c>
      <c r="B335" s="589"/>
      <c r="C335" s="345"/>
      <c r="D335" s="345"/>
      <c r="E335" s="289">
        <v>854</v>
      </c>
      <c r="F335" s="12" t="s">
        <v>18</v>
      </c>
      <c r="G335" s="12" t="s">
        <v>4</v>
      </c>
      <c r="H335" s="12"/>
      <c r="I335" s="12"/>
      <c r="J335" s="14">
        <f t="shared" ref="J335:N335" si="224">J336</f>
        <v>627420</v>
      </c>
      <c r="K335" s="14">
        <f t="shared" si="224"/>
        <v>0</v>
      </c>
      <c r="L335" s="14">
        <f t="shared" si="224"/>
        <v>627420</v>
      </c>
      <c r="M335" s="14">
        <f t="shared" si="224"/>
        <v>0</v>
      </c>
      <c r="N335" s="14">
        <f t="shared" si="224"/>
        <v>627420</v>
      </c>
    </row>
    <row r="336" spans="1:14" ht="24.75" customHeight="1" x14ac:dyDescent="0.25">
      <c r="A336" s="583" t="s">
        <v>27</v>
      </c>
      <c r="B336" s="583"/>
      <c r="C336" s="289"/>
      <c r="D336" s="289"/>
      <c r="E336" s="289">
        <v>854</v>
      </c>
      <c r="F336" s="1" t="s">
        <v>23</v>
      </c>
      <c r="G336" s="1" t="s">
        <v>4</v>
      </c>
      <c r="H336" s="1" t="s">
        <v>559</v>
      </c>
      <c r="I336" s="1"/>
      <c r="J336" s="2">
        <f t="shared" ref="J336:K336" si="225">J337+J339+J341</f>
        <v>627420</v>
      </c>
      <c r="K336" s="2">
        <f t="shared" si="225"/>
        <v>0</v>
      </c>
      <c r="L336" s="2">
        <f t="shared" si="197"/>
        <v>627420</v>
      </c>
      <c r="M336" s="2">
        <f t="shared" ref="M336" si="226">M337+M339+M341</f>
        <v>0</v>
      </c>
      <c r="N336" s="2">
        <f t="shared" ref="N336:N342" si="227">L336+M336</f>
        <v>627420</v>
      </c>
    </row>
    <row r="337" spans="1:14" ht="38.25" customHeight="1" x14ac:dyDescent="0.25">
      <c r="A337" s="17"/>
      <c r="B337" s="332" t="s">
        <v>22</v>
      </c>
      <c r="C337" s="289"/>
      <c r="D337" s="289"/>
      <c r="E337" s="289">
        <v>854</v>
      </c>
      <c r="F337" s="1" t="s">
        <v>18</v>
      </c>
      <c r="G337" s="1" t="s">
        <v>4</v>
      </c>
      <c r="H337" s="1" t="s">
        <v>559</v>
      </c>
      <c r="I337" s="1" t="s">
        <v>24</v>
      </c>
      <c r="J337" s="2">
        <f t="shared" ref="J337:M337" si="228">J338</f>
        <v>418200</v>
      </c>
      <c r="K337" s="2">
        <f t="shared" si="228"/>
        <v>0</v>
      </c>
      <c r="L337" s="2">
        <f t="shared" si="197"/>
        <v>418200</v>
      </c>
      <c r="M337" s="2">
        <f t="shared" si="228"/>
        <v>0</v>
      </c>
      <c r="N337" s="2">
        <f t="shared" si="227"/>
        <v>418200</v>
      </c>
    </row>
    <row r="338" spans="1:14" ht="15" customHeight="1" x14ac:dyDescent="0.25">
      <c r="A338" s="17"/>
      <c r="B338" s="332" t="s">
        <v>25</v>
      </c>
      <c r="C338" s="289"/>
      <c r="D338" s="289"/>
      <c r="E338" s="289">
        <v>854</v>
      </c>
      <c r="F338" s="1" t="s">
        <v>18</v>
      </c>
      <c r="G338" s="1" t="s">
        <v>4</v>
      </c>
      <c r="H338" s="1" t="s">
        <v>559</v>
      </c>
      <c r="I338" s="1" t="s">
        <v>26</v>
      </c>
      <c r="J338" s="2">
        <f>230300+187900</f>
        <v>418200</v>
      </c>
      <c r="K338" s="2"/>
      <c r="L338" s="2">
        <f t="shared" si="197"/>
        <v>418200</v>
      </c>
      <c r="M338" s="2"/>
      <c r="N338" s="2">
        <f t="shared" si="227"/>
        <v>418200</v>
      </c>
    </row>
    <row r="339" spans="1:14" ht="15" customHeight="1" x14ac:dyDescent="0.25">
      <c r="A339" s="17"/>
      <c r="B339" s="333" t="s">
        <v>28</v>
      </c>
      <c r="C339" s="289"/>
      <c r="D339" s="289"/>
      <c r="E339" s="289">
        <v>854</v>
      </c>
      <c r="F339" s="1" t="s">
        <v>18</v>
      </c>
      <c r="G339" s="1" t="s">
        <v>4</v>
      </c>
      <c r="H339" s="1" t="s">
        <v>559</v>
      </c>
      <c r="I339" s="1" t="s">
        <v>29</v>
      </c>
      <c r="J339" s="2">
        <f t="shared" ref="J339:M339" si="229">J340</f>
        <v>208700</v>
      </c>
      <c r="K339" s="2">
        <f t="shared" si="229"/>
        <v>0</v>
      </c>
      <c r="L339" s="2">
        <f t="shared" si="197"/>
        <v>208700</v>
      </c>
      <c r="M339" s="2">
        <f t="shared" si="229"/>
        <v>0</v>
      </c>
      <c r="N339" s="2">
        <f t="shared" si="227"/>
        <v>208700</v>
      </c>
    </row>
    <row r="340" spans="1:14" ht="24.75" customHeight="1" x14ac:dyDescent="0.25">
      <c r="A340" s="17"/>
      <c r="B340" s="333" t="s">
        <v>30</v>
      </c>
      <c r="C340" s="289"/>
      <c r="D340" s="289"/>
      <c r="E340" s="289">
        <v>854</v>
      </c>
      <c r="F340" s="1" t="s">
        <v>18</v>
      </c>
      <c r="G340" s="1" t="s">
        <v>4</v>
      </c>
      <c r="H340" s="1" t="s">
        <v>559</v>
      </c>
      <c r="I340" s="1" t="s">
        <v>31</v>
      </c>
      <c r="J340" s="2">
        <f>54800+150720+3500-320</f>
        <v>208700</v>
      </c>
      <c r="K340" s="2"/>
      <c r="L340" s="2">
        <f t="shared" si="197"/>
        <v>208700</v>
      </c>
      <c r="M340" s="2"/>
      <c r="N340" s="2">
        <f t="shared" si="227"/>
        <v>208700</v>
      </c>
    </row>
    <row r="341" spans="1:14" x14ac:dyDescent="0.25">
      <c r="A341" s="17"/>
      <c r="B341" s="333" t="s">
        <v>32</v>
      </c>
      <c r="C341" s="289"/>
      <c r="D341" s="289"/>
      <c r="E341" s="289">
        <v>854</v>
      </c>
      <c r="F341" s="1" t="s">
        <v>18</v>
      </c>
      <c r="G341" s="1" t="s">
        <v>4</v>
      </c>
      <c r="H341" s="1" t="s">
        <v>559</v>
      </c>
      <c r="I341" s="1" t="s">
        <v>33</v>
      </c>
      <c r="J341" s="2">
        <f t="shared" ref="J341:M341" si="230">J342</f>
        <v>520</v>
      </c>
      <c r="K341" s="2">
        <f t="shared" si="230"/>
        <v>0</v>
      </c>
      <c r="L341" s="2">
        <f t="shared" si="197"/>
        <v>520</v>
      </c>
      <c r="M341" s="2">
        <f t="shared" si="230"/>
        <v>0</v>
      </c>
      <c r="N341" s="2">
        <f t="shared" si="227"/>
        <v>520</v>
      </c>
    </row>
    <row r="342" spans="1:14" x14ac:dyDescent="0.25">
      <c r="A342" s="17"/>
      <c r="B342" s="332" t="s">
        <v>596</v>
      </c>
      <c r="C342" s="333"/>
      <c r="D342" s="333"/>
      <c r="E342" s="289">
        <v>854</v>
      </c>
      <c r="F342" s="1" t="s">
        <v>18</v>
      </c>
      <c r="G342" s="1" t="s">
        <v>4</v>
      </c>
      <c r="H342" s="1" t="s">
        <v>559</v>
      </c>
      <c r="I342" s="1" t="s">
        <v>36</v>
      </c>
      <c r="J342" s="2">
        <f>200+320</f>
        <v>520</v>
      </c>
      <c r="K342" s="2"/>
      <c r="L342" s="2">
        <f t="shared" si="197"/>
        <v>520</v>
      </c>
      <c r="M342" s="2"/>
      <c r="N342" s="2">
        <f t="shared" si="227"/>
        <v>520</v>
      </c>
    </row>
    <row r="343" spans="1:14" s="11" customFormat="1" ht="17.25" customHeight="1" x14ac:dyDescent="0.25">
      <c r="A343" s="592" t="s">
        <v>747</v>
      </c>
      <c r="B343" s="592"/>
      <c r="C343" s="46"/>
      <c r="D343" s="46"/>
      <c r="E343" s="368">
        <v>857</v>
      </c>
      <c r="F343" s="370"/>
      <c r="G343" s="7"/>
      <c r="H343" s="7"/>
      <c r="I343" s="7"/>
      <c r="J343" s="9">
        <f t="shared" ref="J343:N344" si="231">J344</f>
        <v>506700</v>
      </c>
      <c r="K343" s="9">
        <f t="shared" si="231"/>
        <v>0</v>
      </c>
      <c r="L343" s="9">
        <f t="shared" si="231"/>
        <v>506700</v>
      </c>
      <c r="M343" s="9">
        <f t="shared" si="231"/>
        <v>0</v>
      </c>
      <c r="N343" s="9">
        <f t="shared" si="231"/>
        <v>506700</v>
      </c>
    </row>
    <row r="344" spans="1:14" s="11" customFormat="1" x14ac:dyDescent="0.25">
      <c r="A344" s="588" t="s">
        <v>17</v>
      </c>
      <c r="B344" s="588"/>
      <c r="C344" s="364"/>
      <c r="D344" s="364"/>
      <c r="E344" s="368">
        <v>857</v>
      </c>
      <c r="F344" s="7" t="s">
        <v>18</v>
      </c>
      <c r="G344" s="7"/>
      <c r="H344" s="7"/>
      <c r="I344" s="7"/>
      <c r="J344" s="9">
        <f>J345</f>
        <v>506700</v>
      </c>
      <c r="K344" s="9">
        <f t="shared" si="231"/>
        <v>0</v>
      </c>
      <c r="L344" s="9">
        <f t="shared" si="231"/>
        <v>506700</v>
      </c>
      <c r="M344" s="9">
        <f t="shared" si="231"/>
        <v>0</v>
      </c>
      <c r="N344" s="9">
        <f t="shared" si="231"/>
        <v>506700</v>
      </c>
    </row>
    <row r="345" spans="1:14" s="15" customFormat="1" ht="27" customHeight="1" x14ac:dyDescent="0.25">
      <c r="A345" s="589" t="s">
        <v>157</v>
      </c>
      <c r="B345" s="589"/>
      <c r="C345" s="365"/>
      <c r="D345" s="365"/>
      <c r="E345" s="289">
        <v>857</v>
      </c>
      <c r="F345" s="12" t="s">
        <v>18</v>
      </c>
      <c r="G345" s="12" t="s">
        <v>1</v>
      </c>
      <c r="H345" s="12"/>
      <c r="I345" s="12"/>
      <c r="J345" s="14">
        <f>J346+J352</f>
        <v>506700</v>
      </c>
      <c r="K345" s="14">
        <f t="shared" ref="K345:L345" si="232">K346+K352</f>
        <v>0</v>
      </c>
      <c r="L345" s="14">
        <f t="shared" si="232"/>
        <v>506700</v>
      </c>
      <c r="M345" s="14">
        <f t="shared" ref="M345:N345" si="233">M346+M352</f>
        <v>0</v>
      </c>
      <c r="N345" s="14">
        <f t="shared" si="233"/>
        <v>506700</v>
      </c>
    </row>
    <row r="346" spans="1:14" ht="13.5" customHeight="1" x14ac:dyDescent="0.25">
      <c r="A346" s="583" t="s">
        <v>178</v>
      </c>
      <c r="B346" s="583"/>
      <c r="C346" s="356"/>
      <c r="D346" s="356"/>
      <c r="E346" s="289">
        <v>857</v>
      </c>
      <c r="F346" s="1" t="s">
        <v>18</v>
      </c>
      <c r="G346" s="1" t="s">
        <v>1</v>
      </c>
      <c r="H346" s="1" t="s">
        <v>179</v>
      </c>
      <c r="I346" s="1"/>
      <c r="J346" s="2">
        <f>J347+J349</f>
        <v>488700</v>
      </c>
      <c r="K346" s="2">
        <f t="shared" ref="K346:M346" si="234">K347+K349</f>
        <v>0</v>
      </c>
      <c r="L346" s="2">
        <f t="shared" si="197"/>
        <v>488700</v>
      </c>
      <c r="M346" s="2">
        <f t="shared" si="234"/>
        <v>0</v>
      </c>
      <c r="N346" s="2">
        <f t="shared" ref="N346:N350" si="235">L346+M346</f>
        <v>488700</v>
      </c>
    </row>
    <row r="347" spans="1:14" ht="38.25" customHeight="1" x14ac:dyDescent="0.25">
      <c r="A347" s="356"/>
      <c r="B347" s="355" t="s">
        <v>22</v>
      </c>
      <c r="C347" s="356"/>
      <c r="D347" s="356"/>
      <c r="E347" s="289">
        <v>857</v>
      </c>
      <c r="F347" s="1" t="s">
        <v>23</v>
      </c>
      <c r="G347" s="1" t="s">
        <v>1</v>
      </c>
      <c r="H347" s="1" t="s">
        <v>179</v>
      </c>
      <c r="I347" s="1" t="s">
        <v>24</v>
      </c>
      <c r="J347" s="2">
        <f t="shared" ref="J347:M347" si="236">J348</f>
        <v>459000</v>
      </c>
      <c r="K347" s="2">
        <f t="shared" si="236"/>
        <v>0</v>
      </c>
      <c r="L347" s="2">
        <f t="shared" si="197"/>
        <v>459000</v>
      </c>
      <c r="M347" s="2">
        <f t="shared" si="236"/>
        <v>0</v>
      </c>
      <c r="N347" s="2">
        <f t="shared" si="235"/>
        <v>459000</v>
      </c>
    </row>
    <row r="348" spans="1:14" ht="12.75" customHeight="1" x14ac:dyDescent="0.25">
      <c r="A348" s="17"/>
      <c r="B348" s="355" t="s">
        <v>25</v>
      </c>
      <c r="C348" s="355"/>
      <c r="D348" s="355"/>
      <c r="E348" s="289">
        <v>857</v>
      </c>
      <c r="F348" s="1" t="s">
        <v>18</v>
      </c>
      <c r="G348" s="1" t="s">
        <v>1</v>
      </c>
      <c r="H348" s="1" t="s">
        <v>179</v>
      </c>
      <c r="I348" s="1" t="s">
        <v>26</v>
      </c>
      <c r="J348" s="2">
        <f>472000-13000</f>
        <v>459000</v>
      </c>
      <c r="K348" s="2"/>
      <c r="L348" s="2">
        <f t="shared" si="197"/>
        <v>459000</v>
      </c>
      <c r="M348" s="2"/>
      <c r="N348" s="2">
        <f t="shared" si="235"/>
        <v>459000</v>
      </c>
    </row>
    <row r="349" spans="1:14" ht="12" customHeight="1" x14ac:dyDescent="0.25">
      <c r="A349" s="17"/>
      <c r="B349" s="356" t="s">
        <v>28</v>
      </c>
      <c r="C349" s="355"/>
      <c r="D349" s="1" t="s">
        <v>18</v>
      </c>
      <c r="E349" s="289">
        <v>857</v>
      </c>
      <c r="F349" s="1" t="s">
        <v>18</v>
      </c>
      <c r="G349" s="1" t="s">
        <v>1</v>
      </c>
      <c r="H349" s="1" t="s">
        <v>179</v>
      </c>
      <c r="I349" s="1" t="s">
        <v>29</v>
      </c>
      <c r="J349" s="2">
        <f t="shared" ref="J349:M349" si="237">J350</f>
        <v>29700</v>
      </c>
      <c r="K349" s="2">
        <f t="shared" si="237"/>
        <v>0</v>
      </c>
      <c r="L349" s="2">
        <f t="shared" si="197"/>
        <v>29700</v>
      </c>
      <c r="M349" s="2">
        <f t="shared" si="237"/>
        <v>0</v>
      </c>
      <c r="N349" s="2">
        <f t="shared" si="235"/>
        <v>29700</v>
      </c>
    </row>
    <row r="350" spans="1:14" ht="24.75" customHeight="1" x14ac:dyDescent="0.25">
      <c r="A350" s="17"/>
      <c r="B350" s="356" t="s">
        <v>30</v>
      </c>
      <c r="C350" s="356"/>
      <c r="D350" s="1" t="s">
        <v>18</v>
      </c>
      <c r="E350" s="289">
        <v>857</v>
      </c>
      <c r="F350" s="1" t="s">
        <v>18</v>
      </c>
      <c r="G350" s="1" t="s">
        <v>1</v>
      </c>
      <c r="H350" s="1" t="s">
        <v>179</v>
      </c>
      <c r="I350" s="1" t="s">
        <v>31</v>
      </c>
      <c r="J350" s="2">
        <v>29700</v>
      </c>
      <c r="K350" s="2"/>
      <c r="L350" s="2">
        <f t="shared" si="197"/>
        <v>29700</v>
      </c>
      <c r="M350" s="2"/>
      <c r="N350" s="2">
        <f t="shared" si="235"/>
        <v>29700</v>
      </c>
    </row>
    <row r="351" spans="1:14" ht="25.5" customHeight="1" x14ac:dyDescent="0.25">
      <c r="A351" s="583" t="s">
        <v>373</v>
      </c>
      <c r="B351" s="583"/>
      <c r="C351" s="356"/>
      <c r="D351" s="1" t="s">
        <v>18</v>
      </c>
      <c r="E351" s="289">
        <v>857</v>
      </c>
      <c r="F351" s="1" t="s">
        <v>23</v>
      </c>
      <c r="G351" s="1" t="s">
        <v>1</v>
      </c>
      <c r="H351" s="1" t="s">
        <v>616</v>
      </c>
      <c r="I351" s="1"/>
      <c r="J351" s="2">
        <f t="shared" ref="J351:N352" si="238">J352</f>
        <v>18000</v>
      </c>
      <c r="K351" s="2">
        <f t="shared" si="238"/>
        <v>0</v>
      </c>
      <c r="L351" s="2">
        <f t="shared" si="238"/>
        <v>18000</v>
      </c>
      <c r="M351" s="2">
        <f t="shared" si="238"/>
        <v>0</v>
      </c>
      <c r="N351" s="2">
        <f t="shared" si="238"/>
        <v>18000</v>
      </c>
    </row>
    <row r="352" spans="1:14" ht="12" customHeight="1" x14ac:dyDescent="0.25">
      <c r="A352" s="17"/>
      <c r="B352" s="356" t="s">
        <v>28</v>
      </c>
      <c r="C352" s="355"/>
      <c r="D352" s="1" t="s">
        <v>18</v>
      </c>
      <c r="E352" s="289">
        <v>857</v>
      </c>
      <c r="F352" s="1" t="s">
        <v>18</v>
      </c>
      <c r="G352" s="1" t="s">
        <v>1</v>
      </c>
      <c r="H352" s="1" t="s">
        <v>616</v>
      </c>
      <c r="I352" s="1" t="s">
        <v>29</v>
      </c>
      <c r="J352" s="2">
        <f t="shared" si="238"/>
        <v>18000</v>
      </c>
      <c r="K352" s="2">
        <f t="shared" si="238"/>
        <v>0</v>
      </c>
      <c r="L352" s="2">
        <f t="shared" si="238"/>
        <v>18000</v>
      </c>
      <c r="M352" s="2">
        <f t="shared" si="238"/>
        <v>0</v>
      </c>
      <c r="N352" s="2">
        <f t="shared" si="238"/>
        <v>18000</v>
      </c>
    </row>
    <row r="353" spans="1:14" ht="24.75" customHeight="1" x14ac:dyDescent="0.25">
      <c r="A353" s="17"/>
      <c r="B353" s="356" t="s">
        <v>30</v>
      </c>
      <c r="C353" s="356"/>
      <c r="D353" s="1" t="s">
        <v>18</v>
      </c>
      <c r="E353" s="289">
        <v>857</v>
      </c>
      <c r="F353" s="1" t="s">
        <v>18</v>
      </c>
      <c r="G353" s="1" t="s">
        <v>1</v>
      </c>
      <c r="H353" s="1" t="s">
        <v>616</v>
      </c>
      <c r="I353" s="1" t="s">
        <v>31</v>
      </c>
      <c r="J353" s="2">
        <v>18000</v>
      </c>
      <c r="K353" s="2"/>
      <c r="L353" s="2">
        <f>J353+K353</f>
        <v>18000</v>
      </c>
      <c r="M353" s="2"/>
      <c r="N353" s="2">
        <f>L353+M353</f>
        <v>18000</v>
      </c>
    </row>
    <row r="354" spans="1:14" s="143" customFormat="1" ht="18.75" customHeight="1" x14ac:dyDescent="0.25">
      <c r="A354" s="349"/>
      <c r="B354" s="342" t="s">
        <v>180</v>
      </c>
      <c r="C354" s="139"/>
      <c r="D354" s="139"/>
      <c r="E354" s="140"/>
      <c r="F354" s="141"/>
      <c r="G354" s="141"/>
      <c r="H354" s="141"/>
      <c r="I354" s="141"/>
      <c r="J354" s="142">
        <f>J8+J180+J265+J329+J343</f>
        <v>234246433</v>
      </c>
      <c r="K354" s="142">
        <f>K8+K180+K265+K329+K343</f>
        <v>8505006</v>
      </c>
      <c r="L354" s="142">
        <f>L8+L180+L265+L329+L343</f>
        <v>242751439</v>
      </c>
      <c r="M354" s="142">
        <f>M8+M180+M265+M329+M343</f>
        <v>165681</v>
      </c>
      <c r="N354" s="142">
        <f>N8+N180+N265+N329+N343</f>
        <v>242917120</v>
      </c>
    </row>
    <row r="355" spans="1:14" s="143" customFormat="1" ht="18.75" hidden="1" customHeight="1" x14ac:dyDescent="0.25">
      <c r="A355" s="35"/>
      <c r="B355" s="326"/>
      <c r="C355" s="327"/>
      <c r="D355" s="327"/>
      <c r="E355" s="328"/>
      <c r="F355" s="329"/>
      <c r="G355" s="329"/>
      <c r="H355" s="329"/>
      <c r="I355" s="329"/>
      <c r="J355" s="330">
        <f>J354-J356</f>
        <v>0</v>
      </c>
      <c r="K355" s="330">
        <f t="shared" ref="K355:L355" si="239">K354-K356</f>
        <v>3702506</v>
      </c>
      <c r="L355" s="330">
        <f t="shared" si="239"/>
        <v>3702506</v>
      </c>
      <c r="M355" s="330">
        <f t="shared" ref="M355:N355" si="240">M354-M356</f>
        <v>4280700</v>
      </c>
      <c r="N355" s="330">
        <f t="shared" si="240"/>
        <v>7983206</v>
      </c>
    </row>
    <row r="356" spans="1:14" hidden="1" x14ac:dyDescent="0.25">
      <c r="B356" s="6" t="s">
        <v>673</v>
      </c>
      <c r="F356" s="6"/>
      <c r="G356" s="6"/>
      <c r="H356" s="75"/>
      <c r="J356" s="98">
        <f>' Дох.15'!C119</f>
        <v>234246433</v>
      </c>
      <c r="K356" s="98">
        <f>' Дох.15'!F119</f>
        <v>4802500</v>
      </c>
      <c r="L356" s="98">
        <f>' Дох.15'!G119</f>
        <v>239048933</v>
      </c>
      <c r="M356" s="98">
        <f>' Дох.15'!H119</f>
        <v>-4115019</v>
      </c>
      <c r="N356" s="98">
        <f>' Дох.15'!I119</f>
        <v>234933914</v>
      </c>
    </row>
    <row r="357" spans="1:14" hidden="1" x14ac:dyDescent="0.25">
      <c r="E357" s="86"/>
      <c r="F357" s="87"/>
      <c r="G357" s="87"/>
      <c r="H357" s="86"/>
      <c r="I357" s="87"/>
      <c r="J357" s="98"/>
      <c r="K357" s="98"/>
      <c r="L357" s="98"/>
      <c r="M357" s="98"/>
      <c r="N357" s="98"/>
    </row>
    <row r="358" spans="1:14" hidden="1" x14ac:dyDescent="0.25">
      <c r="E358" s="86"/>
      <c r="F358" s="288" t="s">
        <v>18</v>
      </c>
      <c r="G358" s="288"/>
      <c r="H358" s="1"/>
      <c r="I358" s="1"/>
      <c r="J358" s="319">
        <f>J9+J266+J330</f>
        <v>28926500</v>
      </c>
      <c r="K358" s="319">
        <f>K9+K266+K330</f>
        <v>803088</v>
      </c>
      <c r="L358" s="319">
        <f>L9+L266+L330</f>
        <v>29729588</v>
      </c>
      <c r="M358" s="319">
        <f>M9+M266+M330</f>
        <v>-23856</v>
      </c>
      <c r="N358" s="319">
        <f>N9+N266+N330</f>
        <v>29705732</v>
      </c>
    </row>
    <row r="359" spans="1:14" hidden="1" x14ac:dyDescent="0.25">
      <c r="E359" s="86"/>
      <c r="F359" s="288" t="s">
        <v>74</v>
      </c>
      <c r="G359" s="288"/>
      <c r="H359" s="1"/>
      <c r="I359" s="1"/>
      <c r="J359" s="2">
        <f>J57+J280</f>
        <v>1229519</v>
      </c>
      <c r="K359" s="2">
        <f>K57+K280</f>
        <v>0</v>
      </c>
      <c r="L359" s="2">
        <f>L57+L280</f>
        <v>1229519</v>
      </c>
      <c r="M359" s="2">
        <f>M57+M280</f>
        <v>-113804</v>
      </c>
      <c r="N359" s="2">
        <f>N57+N280</f>
        <v>1115715</v>
      </c>
    </row>
    <row r="360" spans="1:14" hidden="1" x14ac:dyDescent="0.25">
      <c r="E360" s="86"/>
      <c r="F360" s="288" t="s">
        <v>4</v>
      </c>
      <c r="G360" s="288"/>
      <c r="H360" s="1"/>
      <c r="I360" s="1"/>
      <c r="J360" s="2">
        <f>J64</f>
        <v>1332400</v>
      </c>
      <c r="K360" s="2">
        <f>K64</f>
        <v>10900</v>
      </c>
      <c r="L360" s="2">
        <f>L64</f>
        <v>1343300</v>
      </c>
      <c r="M360" s="2">
        <f>M64</f>
        <v>0</v>
      </c>
      <c r="N360" s="2">
        <f>N64</f>
        <v>1343300</v>
      </c>
    </row>
    <row r="361" spans="1:14" hidden="1" x14ac:dyDescent="0.25">
      <c r="E361" s="86"/>
      <c r="F361" s="288" t="s">
        <v>7</v>
      </c>
      <c r="G361" s="288"/>
      <c r="H361" s="1"/>
      <c r="I361" s="1"/>
      <c r="J361" s="2">
        <f>J71</f>
        <v>2897640</v>
      </c>
      <c r="K361" s="2">
        <f>K71</f>
        <v>1300000</v>
      </c>
      <c r="L361" s="2">
        <f>L71</f>
        <v>4197640</v>
      </c>
      <c r="M361" s="2">
        <f>M71</f>
        <v>687855</v>
      </c>
      <c r="N361" s="2">
        <f>N71</f>
        <v>4885495</v>
      </c>
    </row>
    <row r="362" spans="1:14" hidden="1" x14ac:dyDescent="0.25">
      <c r="E362" s="86"/>
      <c r="F362" s="288" t="s">
        <v>64</v>
      </c>
      <c r="G362" s="288"/>
      <c r="H362" s="1"/>
      <c r="I362" s="1"/>
      <c r="J362" s="2">
        <f>J98</f>
        <v>741440</v>
      </c>
      <c r="K362" s="2">
        <f>K98</f>
        <v>943038</v>
      </c>
      <c r="L362" s="2">
        <f>L98</f>
        <v>1684478</v>
      </c>
      <c r="M362" s="2">
        <f>M98</f>
        <v>0</v>
      </c>
      <c r="N362" s="2">
        <f>N98</f>
        <v>1684478</v>
      </c>
    </row>
    <row r="363" spans="1:14" hidden="1" x14ac:dyDescent="0.25">
      <c r="E363" s="86"/>
      <c r="F363" s="288" t="s">
        <v>37</v>
      </c>
      <c r="G363" s="288"/>
      <c r="H363" s="1"/>
      <c r="I363" s="1"/>
      <c r="J363" s="2">
        <f>J116+J181</f>
        <v>147928123</v>
      </c>
      <c r="K363" s="2">
        <f>K116+K181</f>
        <v>4842980</v>
      </c>
      <c r="L363" s="2">
        <f>L116+L181</f>
        <v>152771103</v>
      </c>
      <c r="M363" s="2">
        <f>M116+M181</f>
        <v>-75354</v>
      </c>
      <c r="N363" s="2">
        <f>N116+N181</f>
        <v>152695749</v>
      </c>
    </row>
    <row r="364" spans="1:14" hidden="1" x14ac:dyDescent="0.25">
      <c r="E364" s="86"/>
      <c r="F364" s="288" t="s">
        <v>86</v>
      </c>
      <c r="G364" s="288"/>
      <c r="H364" s="1"/>
      <c r="I364" s="1"/>
      <c r="J364" s="2">
        <f>J126+J299</f>
        <v>14967040</v>
      </c>
      <c r="K364" s="2">
        <f>K126+K299</f>
        <v>605000</v>
      </c>
      <c r="L364" s="2">
        <f>L126+L299</f>
        <v>15572040</v>
      </c>
      <c r="M364" s="2">
        <f>M126+M299</f>
        <v>0</v>
      </c>
      <c r="N364" s="2">
        <f>N126+N299</f>
        <v>15572040</v>
      </c>
    </row>
    <row r="365" spans="1:14" hidden="1" x14ac:dyDescent="0.25">
      <c r="E365" s="86"/>
      <c r="F365" s="288" t="s">
        <v>0</v>
      </c>
      <c r="G365" s="288"/>
      <c r="H365" s="1"/>
      <c r="I365" s="1"/>
      <c r="J365" s="2">
        <f>J153+J237</f>
        <v>20684071</v>
      </c>
      <c r="K365" s="2">
        <f>K153+K237</f>
        <v>0</v>
      </c>
      <c r="L365" s="2">
        <f>L153+L237</f>
        <v>20684071</v>
      </c>
      <c r="M365" s="2">
        <f>M153+M237</f>
        <v>283136</v>
      </c>
      <c r="N365" s="2">
        <f>N153+N237</f>
        <v>20967207</v>
      </c>
    </row>
    <row r="366" spans="1:14" hidden="1" x14ac:dyDescent="0.25">
      <c r="E366" s="86"/>
      <c r="F366" s="288" t="s">
        <v>39</v>
      </c>
      <c r="G366" s="288"/>
      <c r="H366" s="1"/>
      <c r="I366" s="1"/>
      <c r="J366" s="2">
        <f>J172</f>
        <v>544000</v>
      </c>
      <c r="K366" s="2">
        <f>K172</f>
        <v>0</v>
      </c>
      <c r="L366" s="2">
        <f>L172</f>
        <v>544000</v>
      </c>
      <c r="M366" s="2">
        <f>M172</f>
        <v>0</v>
      </c>
      <c r="N366" s="2">
        <f>N172</f>
        <v>544000</v>
      </c>
    </row>
    <row r="367" spans="1:14" hidden="1" x14ac:dyDescent="0.25">
      <c r="E367" s="86"/>
      <c r="F367" s="288" t="s">
        <v>45</v>
      </c>
      <c r="G367" s="288"/>
      <c r="H367" s="1"/>
      <c r="I367" s="1"/>
      <c r="J367" s="2"/>
      <c r="K367" s="2"/>
      <c r="L367" s="2"/>
      <c r="M367" s="2"/>
      <c r="N367" s="2"/>
    </row>
    <row r="368" spans="1:14" hidden="1" x14ac:dyDescent="0.25">
      <c r="E368" s="86"/>
      <c r="F368" s="288" t="s">
        <v>167</v>
      </c>
      <c r="G368" s="288"/>
      <c r="H368" s="1"/>
      <c r="I368" s="288"/>
      <c r="J368" s="2">
        <f>J308</f>
        <v>14489000</v>
      </c>
      <c r="K368" s="2">
        <f>K308</f>
        <v>0</v>
      </c>
      <c r="L368" s="2">
        <f>L308</f>
        <v>14489000</v>
      </c>
      <c r="M368" s="2">
        <f>M308</f>
        <v>-660700</v>
      </c>
      <c r="N368" s="2">
        <f>N308</f>
        <v>13828300</v>
      </c>
    </row>
    <row r="369" spans="2:14" hidden="1" x14ac:dyDescent="0.25">
      <c r="E369" s="86"/>
      <c r="F369" s="288"/>
      <c r="G369" s="288" t="s">
        <v>182</v>
      </c>
      <c r="H369" s="1"/>
      <c r="I369" s="288"/>
      <c r="J369" s="2">
        <f>J328</f>
        <v>0</v>
      </c>
      <c r="K369" s="2">
        <f>K328</f>
        <v>0</v>
      </c>
      <c r="L369" s="2">
        <f>L328</f>
        <v>0</v>
      </c>
      <c r="M369" s="2">
        <f>M328</f>
        <v>0</v>
      </c>
      <c r="N369" s="2">
        <f>N328</f>
        <v>0</v>
      </c>
    </row>
    <row r="370" spans="2:14" hidden="1" x14ac:dyDescent="0.25">
      <c r="E370" s="86"/>
      <c r="F370" s="288"/>
      <c r="G370" s="288"/>
      <c r="H370" s="1"/>
      <c r="I370" s="288"/>
      <c r="J370" s="2">
        <f t="shared" ref="J370:L370" si="241">SUM(J358:J369)</f>
        <v>233739733</v>
      </c>
      <c r="K370" s="2">
        <f t="shared" si="241"/>
        <v>8505006</v>
      </c>
      <c r="L370" s="2">
        <f t="shared" si="241"/>
        <v>242244739</v>
      </c>
      <c r="M370" s="2">
        <f t="shared" ref="M370:N370" si="242">SUM(M358:M369)</f>
        <v>97277</v>
      </c>
      <c r="N370" s="2">
        <f t="shared" si="242"/>
        <v>242342016</v>
      </c>
    </row>
    <row r="371" spans="2:14" hidden="1" x14ac:dyDescent="0.25">
      <c r="E371" s="86"/>
      <c r="F371" s="87"/>
      <c r="G371" s="87"/>
      <c r="H371" s="86"/>
      <c r="I371" s="87"/>
      <c r="J371" s="10">
        <f>J354-J370</f>
        <v>506700</v>
      </c>
      <c r="K371" s="10">
        <f>K354-K370</f>
        <v>0</v>
      </c>
      <c r="L371" s="10">
        <f>L354-L370</f>
        <v>506700</v>
      </c>
      <c r="M371" s="10">
        <f>M354-M370</f>
        <v>68404</v>
      </c>
      <c r="N371" s="10">
        <f>N354-N370</f>
        <v>575104</v>
      </c>
    </row>
    <row r="372" spans="2:14" hidden="1" x14ac:dyDescent="0.25">
      <c r="E372" s="86"/>
      <c r="F372" s="87" t="s">
        <v>705</v>
      </c>
      <c r="G372" s="87"/>
      <c r="H372" s="86"/>
      <c r="I372" s="87"/>
      <c r="J372" s="10">
        <f>J325</f>
        <v>0</v>
      </c>
      <c r="K372" s="10">
        <f>K325</f>
        <v>0</v>
      </c>
      <c r="L372" s="10">
        <f>L325</f>
        <v>0</v>
      </c>
      <c r="M372" s="10">
        <f>M325</f>
        <v>0</v>
      </c>
      <c r="N372" s="10">
        <f>N325</f>
        <v>0</v>
      </c>
    </row>
    <row r="373" spans="2:14" hidden="1" x14ac:dyDescent="0.25">
      <c r="E373" s="86"/>
      <c r="F373" s="87"/>
      <c r="G373" s="87"/>
      <c r="H373" s="86"/>
      <c r="I373" s="87"/>
      <c r="K373" s="269" t="e">
        <f>K372/K385*100</f>
        <v>#DIV/0!</v>
      </c>
      <c r="L373" s="269">
        <f>L372/L385*100</f>
        <v>0</v>
      </c>
      <c r="M373" s="269">
        <f>M372/M385*100</f>
        <v>0</v>
      </c>
      <c r="N373" s="269">
        <f>N372/N385*100</f>
        <v>0</v>
      </c>
    </row>
    <row r="374" spans="2:14" hidden="1" x14ac:dyDescent="0.25">
      <c r="E374" s="86"/>
      <c r="F374" s="86"/>
      <c r="G374" s="86"/>
      <c r="H374" s="86"/>
      <c r="I374" s="87"/>
    </row>
    <row r="375" spans="2:14" hidden="1" x14ac:dyDescent="0.25">
      <c r="E375" s="6"/>
      <c r="F375" s="6"/>
      <c r="G375" s="6"/>
      <c r="H375" s="75"/>
    </row>
    <row r="376" spans="2:14" hidden="1" x14ac:dyDescent="0.25">
      <c r="E376" s="6"/>
      <c r="F376" s="6"/>
      <c r="G376" s="6"/>
      <c r="H376" s="75"/>
      <c r="J376" s="10"/>
      <c r="K376" s="10"/>
      <c r="L376" s="10"/>
      <c r="M376" s="10"/>
      <c r="N376" s="10"/>
    </row>
    <row r="377" spans="2:14" s="15" customFormat="1" hidden="1" x14ac:dyDescent="0.25">
      <c r="B377" s="15" t="s">
        <v>706</v>
      </c>
      <c r="H377" s="284"/>
      <c r="J377" s="16" t="e">
        <f>J378+J379+J380</f>
        <v>#REF!</v>
      </c>
      <c r="K377" s="16" t="e">
        <f t="shared" ref="K377:L377" si="243">K378+K379+K380</f>
        <v>#REF!</v>
      </c>
      <c r="L377" s="16" t="e">
        <f t="shared" si="243"/>
        <v>#REF!</v>
      </c>
      <c r="M377" s="16" t="e">
        <f t="shared" ref="M377:N377" si="244">M378+M379+M380</f>
        <v>#REF!</v>
      </c>
      <c r="N377" s="16" t="e">
        <f t="shared" si="244"/>
        <v>#REF!</v>
      </c>
    </row>
    <row r="378" spans="2:14" hidden="1" x14ac:dyDescent="0.25">
      <c r="B378" s="352" t="s">
        <v>651</v>
      </c>
      <c r="E378" s="6"/>
      <c r="F378" s="6"/>
      <c r="G378" s="6"/>
      <c r="H378" s="75"/>
      <c r="J378" s="353">
        <f>J29+J35+J78+J90+J142+J163+J186+J189+J202+J208+J234+J239+J243+J246+J251+J255+J260+J277+J282+J305+J314+J320</f>
        <v>126127131</v>
      </c>
      <c r="K378" s="353">
        <f>K29+K35+K78+K90+K142+K163+K186+K189+K202+K208+K234+K239+K243+K246+K251+K255+K260+K277+K282+K305+K314+K320</f>
        <v>-14489000</v>
      </c>
      <c r="L378" s="353">
        <f>L29+L35+L78+L90+L142+L163+L186+L189+L202+L208+L234+L239+L243+L246+L251+L255+L260+L277+L282+L305+L314+L320</f>
        <v>111638131</v>
      </c>
      <c r="M378" s="353">
        <f>M29+M35+M78+M90+M142+M163+M186+M189+M202+M208+M234+M239+M243+M246+M251+M255+M260+M277+M282+M305+M314+M320</f>
        <v>58030</v>
      </c>
      <c r="N378" s="353">
        <f>N29+N35+N78+N90+N142+N163+N186+N189+N202+N208+N234+N239+N243+N246+N251+N255+N260+N277+N282+N305+N314+N320</f>
        <v>111696161</v>
      </c>
    </row>
    <row r="379" spans="2:14" hidden="1" x14ac:dyDescent="0.25">
      <c r="B379" s="6" t="s">
        <v>653</v>
      </c>
      <c r="E379" s="6"/>
      <c r="F379" s="6"/>
      <c r="G379" s="6"/>
      <c r="H379" s="75"/>
      <c r="J379" s="10" t="e">
        <f>J13+J16+J18+J20+J21+J22+J33+J42+J45+J48+J50+J53+J56+J68+J70+J81+J88+J95+J100+J107+J121+J128+J131+J143+J146+J150+J155+J159+J167+J174+J183+J192+J196+J199+J211+J214+J218+J222+J225+J268+J328+J332+J336+#REF!</f>
        <v>#REF!</v>
      </c>
      <c r="K379" s="10" t="e">
        <f>K13+K16+K18+K20+K21+K22+K33+K42+K45+K48+K50+K53+K56+K68+K70+K81+K88+K95+K100+K107+K121+K128+K131+K143+K146+K150+K155+K159+K167+K174+K183+K192+K196+K199+K211+K214+K218+K222+K225+K268+K328+K332+K336+#REF!</f>
        <v>#REF!</v>
      </c>
      <c r="L379" s="10" t="e">
        <f>L13+L16+L18+L20+L21+L22+L33+L42+L45+L48+L50+L53+L56+L68+L70+L81+L88+L95+L100+L107+L121+L128+L131+L143+L146+L150+L155+L159+L167+L174+L183+L192+L196+L199+L211+L214+L218+L222+L225+L268+L328+L332+L336+#REF!</f>
        <v>#REF!</v>
      </c>
      <c r="M379" s="10" t="e">
        <f>M13+M16+M18+M20+M21+M22+M33+M42+M45+M48+M50+M53+M56+M68+M70+M81+M88+M95+M100+M107+M121+M128+M131+M143+M146+M150+M155+M159+M167+M174+M183+M192+M196+M199+M211+M214+M218+M222+M225+M268+M328+M332+M336+#REF!</f>
        <v>#REF!</v>
      </c>
      <c r="N379" s="10" t="e">
        <f>N13+N16+N18+N20+N21+N22+N33+N42+N45+N48+N50+N53+N56+N68+N70+N81+N88+N95+N100+N107+N121+N128+N131+N143+N146+N150+N155+N159+N167+N174+N183+N192+N196+N199+N211+N214+N218+N222+N225+N268+N328+N332+N336+#REF!</f>
        <v>#REF!</v>
      </c>
    </row>
    <row r="380" spans="2:14" hidden="1" x14ac:dyDescent="0.25">
      <c r="B380" s="351" t="s">
        <v>652</v>
      </c>
      <c r="E380" s="6"/>
      <c r="F380" s="6"/>
      <c r="G380" s="6"/>
      <c r="H380" s="75"/>
      <c r="J380" s="354" t="e">
        <f>J25+J59+J134+J137+J177+#REF!</f>
        <v>#REF!</v>
      </c>
      <c r="K380" s="354" t="e">
        <f>K25+K59+K134+K137+K177+#REF!</f>
        <v>#REF!</v>
      </c>
      <c r="L380" s="354" t="e">
        <f>L25+L59+L134+L137+L177+#REF!</f>
        <v>#REF!</v>
      </c>
      <c r="M380" s="354" t="e">
        <f>M25+M59+M134+M137+M177+#REF!</f>
        <v>#REF!</v>
      </c>
      <c r="N380" s="354" t="e">
        <f>N25+N59+N134+N137+N177+#REF!</f>
        <v>#REF!</v>
      </c>
    </row>
    <row r="381" spans="2:14" hidden="1" x14ac:dyDescent="0.25">
      <c r="E381" s="6"/>
      <c r="F381" s="6"/>
      <c r="G381" s="6"/>
      <c r="H381" s="75"/>
      <c r="J381" s="10" t="e">
        <f>J354-J378-J379-J380</f>
        <v>#REF!</v>
      </c>
      <c r="K381" s="10" t="e">
        <f>K354-K378-K379-K380</f>
        <v>#REF!</v>
      </c>
      <c r="L381" s="10" t="e">
        <f>L354-L378-L379-L380</f>
        <v>#REF!</v>
      </c>
      <c r="M381" s="10" t="e">
        <f>M354-M378-M379-M380</f>
        <v>#REF!</v>
      </c>
      <c r="N381" s="10" t="e">
        <f>N354-N378-N379-N380</f>
        <v>#REF!</v>
      </c>
    </row>
    <row r="382" spans="2:14" ht="7.5" hidden="1" customHeight="1" x14ac:dyDescent="0.25">
      <c r="E382" s="6"/>
      <c r="F382" s="6"/>
      <c r="G382" s="6"/>
      <c r="H382" s="75"/>
      <c r="J382" s="10"/>
      <c r="K382" s="10"/>
      <c r="L382" s="10"/>
      <c r="M382" s="10"/>
      <c r="N382" s="10"/>
    </row>
    <row r="383" spans="2:14" hidden="1" x14ac:dyDescent="0.25">
      <c r="E383" s="6"/>
      <c r="F383" s="6"/>
      <c r="G383" s="6"/>
      <c r="H383" s="75"/>
      <c r="J383" s="10"/>
      <c r="K383" s="10"/>
      <c r="L383" s="10"/>
      <c r="M383" s="10"/>
      <c r="N383" s="10"/>
    </row>
    <row r="384" spans="2:14" hidden="1" x14ac:dyDescent="0.25">
      <c r="E384" s="6"/>
      <c r="F384" s="6"/>
      <c r="G384" s="6"/>
      <c r="H384" s="75"/>
      <c r="J384" s="10"/>
      <c r="K384" s="10"/>
      <c r="L384" s="10"/>
      <c r="M384" s="10"/>
      <c r="N384" s="10"/>
    </row>
    <row r="385" spans="2:14" hidden="1" x14ac:dyDescent="0.25">
      <c r="B385" s="6" t="s">
        <v>672</v>
      </c>
      <c r="E385" s="6"/>
      <c r="F385" s="6"/>
      <c r="G385" s="6"/>
      <c r="H385" s="75"/>
      <c r="J385" s="10">
        <f>' Дох.15'!C7+' Дох.15'!C70</f>
        <v>95577600</v>
      </c>
      <c r="K385" s="10">
        <f>' Дох.15'!F7+' Дох.15'!F70</f>
        <v>0</v>
      </c>
      <c r="L385" s="10">
        <f>' Дох.15'!G7+' Дох.15'!G70</f>
        <v>95577600</v>
      </c>
      <c r="M385" s="10">
        <f>' Дох.15'!H7+' Дох.15'!H70</f>
        <v>-4080700</v>
      </c>
      <c r="N385" s="10">
        <f>' Дох.15'!I7+' Дох.15'!I70</f>
        <v>91496900</v>
      </c>
    </row>
    <row r="386" spans="2:14" hidden="1" x14ac:dyDescent="0.25">
      <c r="B386" s="6" t="s">
        <v>671</v>
      </c>
      <c r="E386" s="6"/>
      <c r="F386" s="6"/>
      <c r="G386" s="6"/>
      <c r="H386" s="75"/>
      <c r="J386" s="10">
        <f>' Дох.15'!C119</f>
        <v>234246433</v>
      </c>
      <c r="K386" s="10">
        <f>' Дох.15'!F119</f>
        <v>4802500</v>
      </c>
      <c r="L386" s="10">
        <f>' Дох.15'!G119</f>
        <v>239048933</v>
      </c>
      <c r="M386" s="10">
        <f>' Дох.15'!H119</f>
        <v>-4115019</v>
      </c>
      <c r="N386" s="10">
        <f>' Дох.15'!I119</f>
        <v>234933914</v>
      </c>
    </row>
    <row r="387" spans="2:14" hidden="1" x14ac:dyDescent="0.25">
      <c r="E387" s="6"/>
      <c r="F387" s="6"/>
      <c r="G387" s="6"/>
      <c r="H387" s="75"/>
      <c r="J387" s="10"/>
      <c r="K387" s="10"/>
      <c r="L387" s="10"/>
      <c r="M387" s="10"/>
      <c r="N387" s="10"/>
    </row>
    <row r="388" spans="2:14" hidden="1" x14ac:dyDescent="0.25">
      <c r="B388" s="6" t="s">
        <v>741</v>
      </c>
      <c r="E388" s="6"/>
      <c r="F388" s="6"/>
      <c r="G388" s="6"/>
      <c r="H388" s="75"/>
      <c r="J388" s="10">
        <f>' Дох.15'!C87</f>
        <v>126127131</v>
      </c>
      <c r="K388" s="10">
        <f>' Дох.15'!F87</f>
        <v>0</v>
      </c>
      <c r="L388" s="10">
        <f>' Дох.15'!G87</f>
        <v>126127131</v>
      </c>
      <c r="M388" s="10">
        <f>' Дох.15'!H87</f>
        <v>-802670</v>
      </c>
      <c r="N388" s="10">
        <f>' Дох.15'!I87</f>
        <v>125324461</v>
      </c>
    </row>
    <row r="389" spans="2:14" hidden="1" x14ac:dyDescent="0.25">
      <c r="E389" s="6"/>
      <c r="F389" s="6"/>
      <c r="G389" s="6"/>
      <c r="H389" s="75"/>
      <c r="J389" s="10">
        <f>J378-J388</f>
        <v>0</v>
      </c>
      <c r="K389" s="10">
        <f t="shared" ref="K389:L389" si="245">K378-K388</f>
        <v>-14489000</v>
      </c>
      <c r="L389" s="10">
        <f t="shared" si="245"/>
        <v>-14489000</v>
      </c>
      <c r="M389" s="10">
        <f t="shared" ref="M389:N389" si="246">M378-M388</f>
        <v>860700</v>
      </c>
      <c r="N389" s="10">
        <f t="shared" si="246"/>
        <v>-13628300</v>
      </c>
    </row>
    <row r="390" spans="2:14" hidden="1" x14ac:dyDescent="0.25">
      <c r="B390" s="6" t="s">
        <v>742</v>
      </c>
      <c r="E390" s="6"/>
      <c r="F390" s="6"/>
      <c r="G390" s="6"/>
      <c r="H390" s="75"/>
      <c r="J390" s="10">
        <f>' Дох.15'!C115+' Дох.15'!C117</f>
        <v>12541702</v>
      </c>
      <c r="K390" s="10">
        <f>' Дох.15'!F115+' Дох.15'!F118</f>
        <v>0</v>
      </c>
      <c r="L390" s="10">
        <f>' Дох.15'!G115+' Дох.15'!G118</f>
        <v>12541702</v>
      </c>
      <c r="M390" s="10">
        <f>' Дох.15'!H115+' Дох.15'!H118</f>
        <v>-39699</v>
      </c>
      <c r="N390" s="10">
        <f>' Дох.15'!I115+' Дох.15'!I118</f>
        <v>12502003</v>
      </c>
    </row>
    <row r="391" spans="2:14" hidden="1" x14ac:dyDescent="0.25">
      <c r="E391" s="6"/>
      <c r="F391" s="6"/>
      <c r="G391" s="6"/>
      <c r="H391" s="75"/>
      <c r="J391" s="10" t="e">
        <f>J380-J390</f>
        <v>#REF!</v>
      </c>
      <c r="K391" s="10" t="e">
        <f t="shared" ref="K391:L391" si="247">K380-K390</f>
        <v>#REF!</v>
      </c>
      <c r="L391" s="10" t="e">
        <f t="shared" si="247"/>
        <v>#REF!</v>
      </c>
      <c r="M391" s="10" t="e">
        <f t="shared" ref="M391:N391" si="248">M380-M390</f>
        <v>#REF!</v>
      </c>
      <c r="N391" s="10" t="e">
        <f t="shared" si="248"/>
        <v>#REF!</v>
      </c>
    </row>
    <row r="392" spans="2:14" hidden="1" x14ac:dyDescent="0.25">
      <c r="E392" s="6"/>
      <c r="F392" s="6"/>
      <c r="G392" s="6"/>
      <c r="H392" s="75"/>
      <c r="J392" s="10"/>
      <c r="K392" s="10"/>
      <c r="L392" s="10"/>
      <c r="M392" s="10"/>
      <c r="N392" s="10"/>
    </row>
    <row r="393" spans="2:14" hidden="1" x14ac:dyDescent="0.25">
      <c r="E393" s="6"/>
      <c r="F393" s="6"/>
      <c r="G393" s="6"/>
      <c r="H393" s="75"/>
      <c r="J393" s="10"/>
      <c r="K393" s="10"/>
      <c r="L393" s="10"/>
      <c r="M393" s="10"/>
      <c r="N393" s="10"/>
    </row>
    <row r="394" spans="2:14" hidden="1" x14ac:dyDescent="0.25">
      <c r="E394" s="6"/>
      <c r="F394" s="6"/>
      <c r="G394" s="6"/>
      <c r="H394" s="75"/>
      <c r="J394" s="10"/>
      <c r="K394" s="10"/>
      <c r="L394" s="10"/>
      <c r="M394" s="10"/>
      <c r="N394" s="10"/>
    </row>
    <row r="395" spans="2:14" x14ac:dyDescent="0.25">
      <c r="E395" s="6"/>
      <c r="F395" s="6"/>
      <c r="G395" s="6"/>
      <c r="H395" s="75"/>
      <c r="J395" s="10"/>
      <c r="K395" s="10"/>
      <c r="L395" s="10"/>
      <c r="M395" s="10"/>
      <c r="N395" s="10"/>
    </row>
    <row r="396" spans="2:14" hidden="1" x14ac:dyDescent="0.25">
      <c r="E396" s="6"/>
      <c r="F396" s="6"/>
      <c r="G396" s="6"/>
      <c r="H396" s="75"/>
      <c r="J396" s="10"/>
      <c r="K396" s="10"/>
      <c r="L396" s="10"/>
      <c r="M396" s="10"/>
      <c r="N396" s="10"/>
    </row>
    <row r="397" spans="2:14" hidden="1" x14ac:dyDescent="0.25">
      <c r="E397" s="6"/>
      <c r="F397" s="6"/>
      <c r="G397" s="6"/>
      <c r="H397" s="75"/>
      <c r="J397" s="10"/>
      <c r="K397" s="10"/>
      <c r="L397" s="10"/>
      <c r="M397" s="10"/>
      <c r="N397" s="10"/>
    </row>
    <row r="398" spans="2:14" hidden="1" x14ac:dyDescent="0.25">
      <c r="E398" s="6"/>
      <c r="F398" s="6"/>
      <c r="G398" s="6"/>
      <c r="H398" s="75"/>
      <c r="J398" s="10"/>
      <c r="K398" s="10"/>
      <c r="L398" s="10"/>
      <c r="M398" s="10"/>
      <c r="N398" s="10"/>
    </row>
    <row r="399" spans="2:14" hidden="1" x14ac:dyDescent="0.25">
      <c r="E399" s="87"/>
      <c r="F399" s="242"/>
      <c r="G399" s="86"/>
      <c r="H399" s="86"/>
      <c r="I399" s="87"/>
      <c r="J399" s="10"/>
      <c r="K399" s="10"/>
      <c r="L399" s="10"/>
      <c r="M399" s="10"/>
      <c r="N399" s="10"/>
    </row>
    <row r="400" spans="2:14" hidden="1" x14ac:dyDescent="0.25">
      <c r="E400" s="87"/>
      <c r="F400" s="242"/>
      <c r="G400" s="87"/>
      <c r="H400" s="86"/>
      <c r="I400" s="87"/>
      <c r="J400" s="10"/>
      <c r="K400" s="10"/>
      <c r="L400" s="10"/>
      <c r="M400" s="10"/>
      <c r="N400" s="10"/>
    </row>
    <row r="401" spans="5:14" hidden="1" x14ac:dyDescent="0.25">
      <c r="E401" s="87"/>
      <c r="F401" s="242"/>
      <c r="G401" s="86"/>
      <c r="H401" s="86"/>
      <c r="I401" s="87"/>
      <c r="J401" s="10"/>
      <c r="K401" s="10"/>
      <c r="L401" s="10"/>
      <c r="M401" s="10"/>
      <c r="N401" s="10"/>
    </row>
    <row r="402" spans="5:14" hidden="1" x14ac:dyDescent="0.25">
      <c r="E402" s="87"/>
      <c r="F402" s="242"/>
      <c r="G402" s="86"/>
      <c r="H402" s="86"/>
      <c r="I402" s="87"/>
      <c r="J402" s="10"/>
      <c r="K402" s="10"/>
      <c r="L402" s="10"/>
      <c r="M402" s="10"/>
      <c r="N402" s="10"/>
    </row>
    <row r="403" spans="5:14" hidden="1" x14ac:dyDescent="0.25">
      <c r="E403" s="87"/>
      <c r="F403" s="242"/>
      <c r="G403" s="86"/>
      <c r="H403" s="86"/>
      <c r="I403" s="87"/>
      <c r="J403" s="10"/>
      <c r="K403" s="10"/>
      <c r="L403" s="10"/>
      <c r="M403" s="10"/>
      <c r="N403" s="10"/>
    </row>
    <row r="404" spans="5:14" hidden="1" x14ac:dyDescent="0.25">
      <c r="E404" s="87"/>
      <c r="F404" s="242"/>
      <c r="G404" s="86"/>
      <c r="H404" s="86"/>
      <c r="I404" s="87"/>
      <c r="J404" s="10"/>
      <c r="K404" s="10"/>
      <c r="L404" s="10"/>
      <c r="M404" s="10"/>
      <c r="N404" s="10"/>
    </row>
    <row r="405" spans="5:14" hidden="1" x14ac:dyDescent="0.25">
      <c r="E405" s="87"/>
      <c r="F405" s="242"/>
      <c r="G405" s="86"/>
      <c r="H405" s="86"/>
      <c r="I405" s="87"/>
      <c r="J405" s="10"/>
      <c r="K405" s="10"/>
      <c r="L405" s="10"/>
      <c r="M405" s="10"/>
      <c r="N405" s="10"/>
    </row>
    <row r="406" spans="5:14" hidden="1" x14ac:dyDescent="0.25">
      <c r="E406" s="87"/>
      <c r="F406" s="242"/>
      <c r="G406" s="86"/>
      <c r="H406" s="86"/>
      <c r="I406" s="87"/>
      <c r="J406" s="10"/>
      <c r="K406" s="10"/>
      <c r="L406" s="10"/>
      <c r="M406" s="10"/>
      <c r="N406" s="10"/>
    </row>
    <row r="407" spans="5:14" hidden="1" x14ac:dyDescent="0.25">
      <c r="E407" s="87"/>
      <c r="F407" s="242"/>
      <c r="G407" s="87"/>
      <c r="H407" s="86"/>
      <c r="I407" s="87"/>
      <c r="J407" s="10"/>
      <c r="K407" s="10"/>
      <c r="L407" s="10"/>
      <c r="M407" s="10"/>
      <c r="N407" s="10"/>
    </row>
    <row r="408" spans="5:14" hidden="1" x14ac:dyDescent="0.25">
      <c r="E408" s="87"/>
      <c r="F408" s="242"/>
      <c r="G408" s="86"/>
      <c r="H408" s="86"/>
      <c r="I408" s="87"/>
      <c r="J408" s="10"/>
      <c r="K408" s="10"/>
      <c r="L408" s="10"/>
      <c r="M408" s="10"/>
      <c r="N408" s="10"/>
    </row>
    <row r="409" spans="5:14" hidden="1" x14ac:dyDescent="0.25">
      <c r="E409" s="87"/>
      <c r="F409" s="242"/>
      <c r="G409" s="86"/>
      <c r="H409" s="86"/>
      <c r="I409" s="87"/>
      <c r="J409" s="10"/>
      <c r="K409" s="10"/>
      <c r="L409" s="10"/>
      <c r="M409" s="10"/>
      <c r="N409" s="10"/>
    </row>
    <row r="410" spans="5:14" hidden="1" x14ac:dyDescent="0.25">
      <c r="E410" s="87"/>
      <c r="F410" s="86"/>
      <c r="G410" s="86"/>
      <c r="H410" s="86"/>
      <c r="I410" s="87"/>
    </row>
    <row r="411" spans="5:14" hidden="1" x14ac:dyDescent="0.25">
      <c r="E411" s="87"/>
      <c r="F411" s="86"/>
      <c r="G411" s="86"/>
      <c r="H411" s="86"/>
      <c r="I411" s="87"/>
      <c r="J411" s="10"/>
      <c r="K411" s="10"/>
      <c r="L411" s="10"/>
      <c r="M411" s="10"/>
      <c r="N411" s="10"/>
    </row>
    <row r="412" spans="5:14" hidden="1" x14ac:dyDescent="0.25">
      <c r="E412" s="87"/>
      <c r="F412" s="86"/>
      <c r="G412" s="86"/>
      <c r="H412" s="86"/>
      <c r="I412" s="87"/>
    </row>
    <row r="413" spans="5:14" hidden="1" x14ac:dyDescent="0.25">
      <c r="E413" s="87"/>
      <c r="F413" s="86"/>
      <c r="G413" s="86"/>
      <c r="H413" s="86"/>
      <c r="I413" s="87"/>
    </row>
    <row r="414" spans="5:14" hidden="1" x14ac:dyDescent="0.25">
      <c r="E414" s="87"/>
      <c r="F414" s="242"/>
      <c r="G414" s="86"/>
      <c r="H414" s="86"/>
      <c r="I414" s="87"/>
      <c r="J414" s="10"/>
      <c r="K414" s="10"/>
      <c r="L414" s="10"/>
      <c r="M414" s="10"/>
      <c r="N414" s="10"/>
    </row>
    <row r="415" spans="5:14" hidden="1" x14ac:dyDescent="0.25">
      <c r="E415" s="86"/>
      <c r="F415" s="242"/>
      <c r="G415" s="86"/>
      <c r="H415" s="87"/>
      <c r="I415" s="87"/>
      <c r="J415" s="10"/>
      <c r="K415" s="10"/>
      <c r="L415" s="10"/>
      <c r="M415" s="10"/>
      <c r="N415" s="10"/>
    </row>
    <row r="416" spans="5:14" hidden="1" x14ac:dyDescent="0.25">
      <c r="E416" s="87"/>
      <c r="F416" s="242"/>
      <c r="G416" s="86"/>
      <c r="H416" s="87"/>
      <c r="I416" s="87"/>
      <c r="J416" s="10"/>
      <c r="K416" s="10"/>
      <c r="L416" s="10"/>
      <c r="M416" s="10"/>
      <c r="N416" s="10"/>
    </row>
    <row r="417" spans="5:14" hidden="1" x14ac:dyDescent="0.25">
      <c r="E417" s="87"/>
      <c r="F417" s="242"/>
      <c r="G417" s="86"/>
      <c r="H417" s="87"/>
      <c r="I417" s="87"/>
      <c r="J417" s="10"/>
      <c r="K417" s="10"/>
      <c r="L417" s="10"/>
      <c r="M417" s="10"/>
      <c r="N417" s="10"/>
    </row>
    <row r="418" spans="5:14" hidden="1" x14ac:dyDescent="0.25">
      <c r="E418" s="6"/>
      <c r="F418" s="242"/>
      <c r="J418" s="10"/>
      <c r="K418" s="10"/>
      <c r="L418" s="10"/>
      <c r="M418" s="10"/>
      <c r="N418" s="10"/>
    </row>
    <row r="419" spans="5:14" hidden="1" x14ac:dyDescent="0.25">
      <c r="E419" s="6"/>
      <c r="F419" s="242"/>
      <c r="G419" s="6"/>
      <c r="J419" s="10"/>
      <c r="K419" s="10"/>
      <c r="L419" s="10"/>
      <c r="M419" s="10"/>
      <c r="N419" s="10"/>
    </row>
    <row r="420" spans="5:14" hidden="1" x14ac:dyDescent="0.25">
      <c r="E420" s="6"/>
      <c r="F420" s="242"/>
      <c r="G420" s="6"/>
      <c r="J420" s="10"/>
      <c r="K420" s="10"/>
      <c r="L420" s="10"/>
      <c r="M420" s="10"/>
      <c r="N420" s="10"/>
    </row>
    <row r="421" spans="5:14" hidden="1" x14ac:dyDescent="0.25">
      <c r="E421" s="6"/>
      <c r="F421" s="242"/>
      <c r="G421" s="6"/>
      <c r="J421" s="10"/>
      <c r="K421" s="10"/>
      <c r="L421" s="10"/>
      <c r="M421" s="10"/>
      <c r="N421" s="10"/>
    </row>
    <row r="422" spans="5:14" hidden="1" x14ac:dyDescent="0.25">
      <c r="E422" s="6"/>
      <c r="F422" s="242"/>
      <c r="G422" s="6"/>
      <c r="J422" s="10"/>
      <c r="K422" s="10"/>
      <c r="L422" s="10"/>
      <c r="M422" s="10"/>
      <c r="N422" s="10"/>
    </row>
    <row r="423" spans="5:14" hidden="1" x14ac:dyDescent="0.25">
      <c r="E423" s="6"/>
      <c r="F423" s="242"/>
      <c r="G423" s="6"/>
      <c r="J423" s="10"/>
      <c r="K423" s="10"/>
      <c r="L423" s="10"/>
      <c r="M423" s="10"/>
      <c r="N423" s="10"/>
    </row>
    <row r="424" spans="5:14" hidden="1" x14ac:dyDescent="0.25"/>
    <row r="425" spans="5:14" hidden="1" x14ac:dyDescent="0.25">
      <c r="E425" s="6"/>
      <c r="F425" s="6"/>
      <c r="G425" s="6"/>
    </row>
    <row r="426" spans="5:14" hidden="1" x14ac:dyDescent="0.25">
      <c r="E426" s="6"/>
      <c r="F426" s="242"/>
      <c r="G426" s="6"/>
      <c r="J426" s="10"/>
      <c r="K426" s="10"/>
      <c r="L426" s="10"/>
      <c r="M426" s="10"/>
      <c r="N426" s="10"/>
    </row>
    <row r="427" spans="5:14" hidden="1" x14ac:dyDescent="0.25">
      <c r="E427" s="6"/>
      <c r="F427" s="242"/>
      <c r="G427" s="6"/>
      <c r="J427" s="10"/>
      <c r="K427" s="10"/>
      <c r="L427" s="10"/>
      <c r="M427" s="10"/>
      <c r="N427" s="10"/>
    </row>
    <row r="428" spans="5:14" hidden="1" x14ac:dyDescent="0.25">
      <c r="F428" s="242"/>
      <c r="J428" s="10"/>
      <c r="K428" s="10"/>
      <c r="L428" s="10"/>
      <c r="M428" s="10"/>
      <c r="N428" s="10"/>
    </row>
    <row r="429" spans="5:14" hidden="1" x14ac:dyDescent="0.25">
      <c r="F429" s="242"/>
      <c r="J429" s="10"/>
      <c r="K429" s="10"/>
      <c r="L429" s="10"/>
      <c r="M429" s="10"/>
      <c r="N429" s="10"/>
    </row>
    <row r="430" spans="5:14" hidden="1" x14ac:dyDescent="0.25">
      <c r="F430" s="242"/>
      <c r="J430" s="10"/>
      <c r="K430" s="10"/>
      <c r="L430" s="10"/>
      <c r="M430" s="10"/>
      <c r="N430" s="10"/>
    </row>
    <row r="431" spans="5:14" hidden="1" x14ac:dyDescent="0.25">
      <c r="F431" s="242"/>
      <c r="J431" s="10"/>
      <c r="K431" s="10"/>
      <c r="L431" s="10"/>
      <c r="M431" s="10"/>
      <c r="N431" s="10"/>
    </row>
    <row r="432" spans="5:14" hidden="1" x14ac:dyDescent="0.25">
      <c r="F432" s="242"/>
      <c r="J432" s="10"/>
      <c r="K432" s="10"/>
      <c r="L432" s="10"/>
      <c r="M432" s="10"/>
      <c r="N432" s="10"/>
    </row>
    <row r="433" spans="2:14" hidden="1" x14ac:dyDescent="0.25">
      <c r="F433" s="242"/>
      <c r="J433" s="10"/>
      <c r="K433" s="10"/>
      <c r="L433" s="10"/>
      <c r="M433" s="10"/>
      <c r="N433" s="10"/>
    </row>
    <row r="434" spans="2:14" hidden="1" x14ac:dyDescent="0.25">
      <c r="F434" s="242"/>
      <c r="J434" s="10"/>
      <c r="K434" s="10"/>
      <c r="L434" s="10"/>
      <c r="M434" s="10"/>
      <c r="N434" s="10"/>
    </row>
    <row r="435" spans="2:14" hidden="1" x14ac:dyDescent="0.25">
      <c r="F435" s="242"/>
      <c r="J435" s="10"/>
      <c r="K435" s="10"/>
      <c r="L435" s="10"/>
      <c r="M435" s="10"/>
      <c r="N435" s="10"/>
    </row>
    <row r="436" spans="2:14" hidden="1" x14ac:dyDescent="0.25">
      <c r="B436" s="75"/>
    </row>
    <row r="437" spans="2:14" hidden="1" x14ac:dyDescent="0.25"/>
    <row r="438" spans="2:14" hidden="1" x14ac:dyDescent="0.25"/>
    <row r="439" spans="2:14" hidden="1" x14ac:dyDescent="0.25"/>
    <row r="440" spans="2:14" hidden="1" x14ac:dyDescent="0.25"/>
    <row r="441" spans="2:14" hidden="1" x14ac:dyDescent="0.25"/>
    <row r="442" spans="2:14" hidden="1" x14ac:dyDescent="0.25"/>
    <row r="443" spans="2:14" hidden="1" x14ac:dyDescent="0.25"/>
    <row r="444" spans="2:14" hidden="1" x14ac:dyDescent="0.25"/>
    <row r="445" spans="2:14" x14ac:dyDescent="0.25">
      <c r="J445" s="10"/>
      <c r="K445" s="10"/>
      <c r="L445" s="10"/>
      <c r="M445" s="10"/>
      <c r="N445" s="10"/>
    </row>
    <row r="446" spans="2:14" x14ac:dyDescent="0.25">
      <c r="M446" s="353"/>
    </row>
    <row r="447" spans="2:14" x14ac:dyDescent="0.25">
      <c r="K447" s="10"/>
      <c r="M447" s="10"/>
    </row>
    <row r="448" spans="2:14" x14ac:dyDescent="0.25">
      <c r="K448" s="10"/>
      <c r="M448" s="10"/>
    </row>
    <row r="449" spans="5:13" x14ac:dyDescent="0.25">
      <c r="K449" s="10"/>
      <c r="M449" s="10"/>
    </row>
    <row r="451" spans="5:13" x14ac:dyDescent="0.25">
      <c r="K451" s="10"/>
      <c r="M451" s="10"/>
    </row>
    <row r="453" spans="5:13" x14ac:dyDescent="0.25">
      <c r="M453" s="10"/>
    </row>
    <row r="455" spans="5:13" x14ac:dyDescent="0.25">
      <c r="E455" s="6"/>
      <c r="F455" s="6"/>
      <c r="G455" s="6"/>
      <c r="M455" s="10"/>
    </row>
    <row r="456" spans="5:13" x14ac:dyDescent="0.25">
      <c r="E456" s="6"/>
      <c r="F456" s="6"/>
      <c r="G456" s="6"/>
    </row>
    <row r="457" spans="5:13" x14ac:dyDescent="0.25">
      <c r="E457" s="6"/>
      <c r="F457" s="6"/>
      <c r="G457" s="6"/>
    </row>
    <row r="458" spans="5:13" x14ac:dyDescent="0.25">
      <c r="E458" s="6"/>
      <c r="F458" s="6"/>
      <c r="G458" s="6"/>
    </row>
    <row r="459" spans="5:13" x14ac:dyDescent="0.25">
      <c r="E459" s="6"/>
      <c r="F459" s="6"/>
      <c r="G459" s="6"/>
    </row>
    <row r="460" spans="5:13" x14ac:dyDescent="0.25">
      <c r="E460" s="6"/>
      <c r="F460" s="6"/>
      <c r="G460" s="6"/>
    </row>
    <row r="462" spans="5:13" x14ac:dyDescent="0.25">
      <c r="E462" s="6"/>
      <c r="F462" s="6"/>
      <c r="G462" s="6"/>
    </row>
    <row r="463" spans="5:13" x14ac:dyDescent="0.25">
      <c r="E463" s="6"/>
      <c r="F463" s="6"/>
      <c r="G463" s="6"/>
    </row>
    <row r="464" spans="5:13" x14ac:dyDescent="0.25">
      <c r="E464" s="6"/>
      <c r="F464" s="6"/>
      <c r="G464" s="6"/>
    </row>
  </sheetData>
  <mergeCells count="144">
    <mergeCell ref="A5:N5"/>
    <mergeCell ref="F4:N4"/>
    <mergeCell ref="F2:N2"/>
    <mergeCell ref="A343:B343"/>
    <mergeCell ref="A344:B344"/>
    <mergeCell ref="A345:B345"/>
    <mergeCell ref="A346:B346"/>
    <mergeCell ref="A351:B351"/>
    <mergeCell ref="A181:B181"/>
    <mergeCell ref="A182:B182"/>
    <mergeCell ref="A192:B192"/>
    <mergeCell ref="A186:B186"/>
    <mergeCell ref="A189:B189"/>
    <mergeCell ref="A221:B221"/>
    <mergeCell ref="A222:B222"/>
    <mergeCell ref="A225:B225"/>
    <mergeCell ref="A239:B239"/>
    <mergeCell ref="A246:B246"/>
    <mergeCell ref="A330:B330"/>
    <mergeCell ref="A335:B335"/>
    <mergeCell ref="A336:B336"/>
    <mergeCell ref="A326:B326"/>
    <mergeCell ref="A308:B308"/>
    <mergeCell ref="A309:B309"/>
    <mergeCell ref="A310:B310"/>
    <mergeCell ref="A315:B315"/>
    <mergeCell ref="A202:B202"/>
    <mergeCell ref="A26:B26"/>
    <mergeCell ref="A27:B27"/>
    <mergeCell ref="A183:B183"/>
    <mergeCell ref="A195:B195"/>
    <mergeCell ref="A173:B173"/>
    <mergeCell ref="A174:B174"/>
    <mergeCell ref="A177:B177"/>
    <mergeCell ref="A180:B180"/>
    <mergeCell ref="A149:B149"/>
    <mergeCell ref="A150:B150"/>
    <mergeCell ref="A153:B153"/>
    <mergeCell ref="A131:B131"/>
    <mergeCell ref="A143:B143"/>
    <mergeCell ref="A146:B146"/>
    <mergeCell ref="A113:B113"/>
    <mergeCell ref="A104:B104"/>
    <mergeCell ref="A118:B118"/>
    <mergeCell ref="A128:B128"/>
    <mergeCell ref="A110:B110"/>
    <mergeCell ref="A30:B30"/>
    <mergeCell ref="A31:B31"/>
    <mergeCell ref="A117:B117"/>
    <mergeCell ref="A121:B121"/>
    <mergeCell ref="A126:B126"/>
    <mergeCell ref="F3:I3"/>
    <mergeCell ref="A280:B280"/>
    <mergeCell ref="A281:B281"/>
    <mergeCell ref="A282:B282"/>
    <mergeCell ref="A299:B299"/>
    <mergeCell ref="A304:B304"/>
    <mergeCell ref="A234:B234"/>
    <mergeCell ref="A237:B237"/>
    <mergeCell ref="A238:B238"/>
    <mergeCell ref="A140:B140"/>
    <mergeCell ref="A217:B217"/>
    <mergeCell ref="A127:B127"/>
    <mergeCell ref="A134:B134"/>
    <mergeCell ref="A137:B137"/>
    <mergeCell ref="A116:B116"/>
    <mergeCell ref="A64:B64"/>
    <mergeCell ref="A65:B65"/>
    <mergeCell ref="A71:B71"/>
    <mergeCell ref="A72:B72"/>
    <mergeCell ref="A95:B95"/>
    <mergeCell ref="A66:B66"/>
    <mergeCell ref="A305:B305"/>
    <mergeCell ref="A265:B265"/>
    <mergeCell ref="A266:B266"/>
    <mergeCell ref="A267:B267"/>
    <mergeCell ref="A268:B268"/>
    <mergeCell ref="A276:B276"/>
    <mergeCell ref="A277:B277"/>
    <mergeCell ref="A242:B242"/>
    <mergeCell ref="A243:B243"/>
    <mergeCell ref="A251:B251"/>
    <mergeCell ref="A254:B254"/>
    <mergeCell ref="A255:B255"/>
    <mergeCell ref="A260:B260"/>
    <mergeCell ref="A316:B316"/>
    <mergeCell ref="A329:B329"/>
    <mergeCell ref="A325:B325"/>
    <mergeCell ref="A331:B331"/>
    <mergeCell ref="A332:B332"/>
    <mergeCell ref="A154:B154"/>
    <mergeCell ref="A155:B155"/>
    <mergeCell ref="A158:B158"/>
    <mergeCell ref="A159:B159"/>
    <mergeCell ref="A162:B162"/>
    <mergeCell ref="A163:B163"/>
    <mergeCell ref="A166:B166"/>
    <mergeCell ref="A167:B167"/>
    <mergeCell ref="A172:B172"/>
    <mergeCell ref="A301:B301"/>
    <mergeCell ref="B302:C302"/>
    <mergeCell ref="A300:B300"/>
    <mergeCell ref="A218:B218"/>
    <mergeCell ref="A196:B196"/>
    <mergeCell ref="A199:B199"/>
    <mergeCell ref="A208:B208"/>
    <mergeCell ref="A211:B211"/>
    <mergeCell ref="A214:B214"/>
    <mergeCell ref="A205:B205"/>
    <mergeCell ref="A58:B58"/>
    <mergeCell ref="A59:B59"/>
    <mergeCell ref="A99:B99"/>
    <mergeCell ref="A100:B100"/>
    <mergeCell ref="A79:B79"/>
    <mergeCell ref="A89:B89"/>
    <mergeCell ref="A90:B90"/>
    <mergeCell ref="A107:B107"/>
    <mergeCell ref="A85:B85"/>
    <mergeCell ref="A86:B86"/>
    <mergeCell ref="A76:B76"/>
    <mergeCell ref="A51:B51"/>
    <mergeCell ref="A54:B54"/>
    <mergeCell ref="A23:B23"/>
    <mergeCell ref="A321:B321"/>
    <mergeCell ref="A291:B291"/>
    <mergeCell ref="A292:B292"/>
    <mergeCell ref="A296:B296"/>
    <mergeCell ref="A7:B7"/>
    <mergeCell ref="A8:B8"/>
    <mergeCell ref="A9:B9"/>
    <mergeCell ref="A10:B10"/>
    <mergeCell ref="A11:B11"/>
    <mergeCell ref="A14:B14"/>
    <mergeCell ref="A34:B34"/>
    <mergeCell ref="A46:B46"/>
    <mergeCell ref="A40:B40"/>
    <mergeCell ref="A43:B43"/>
    <mergeCell ref="A35:B35"/>
    <mergeCell ref="A73:B73"/>
    <mergeCell ref="A285:B285"/>
    <mergeCell ref="A286:B286"/>
    <mergeCell ref="A287:B287"/>
    <mergeCell ref="A82:B82"/>
    <mergeCell ref="A57:B57"/>
  </mergeCells>
  <pageMargins left="0.59055118110236227" right="0.19685039370078741" top="0.19685039370078741" bottom="0.19685039370078741" header="0.31496062992125984" footer="0.31496062992125984"/>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459"/>
  <sheetViews>
    <sheetView zoomScale="90" zoomScaleNormal="90" workbookViewId="0">
      <pane xSplit="10" ySplit="5" topLeftCell="K301" activePane="bottomRight" state="frozen"/>
      <selection pane="topRight" activeCell="K1" sqref="K1"/>
      <selection pane="bottomLeft" activeCell="A6" sqref="A6"/>
      <selection pane="bottomRight" activeCell="H301" sqref="H301"/>
    </sheetView>
  </sheetViews>
  <sheetFormatPr defaultRowHeight="12" x14ac:dyDescent="0.25"/>
  <cols>
    <col min="1" max="1" width="1.7109375" style="6" customWidth="1"/>
    <col min="2" max="2" width="68.85546875" style="6" customWidth="1"/>
    <col min="3" max="4" width="4" style="6" hidden="1" customWidth="1"/>
    <col min="5" max="5" width="4" style="75" customWidth="1"/>
    <col min="6" max="7" width="3.5703125" style="75" customWidth="1"/>
    <col min="8" max="8" width="9.5703125" style="6" customWidth="1"/>
    <col min="9" max="9" width="4" style="6" customWidth="1"/>
    <col min="10" max="10" width="13.42578125" style="10" hidden="1" customWidth="1"/>
    <col min="11" max="12" width="14.28515625" style="6" hidden="1" customWidth="1"/>
    <col min="13" max="13" width="14.28515625" style="6" customWidth="1"/>
    <col min="14" max="14" width="13.42578125" style="6" hidden="1" customWidth="1"/>
    <col min="15" max="15" width="12.7109375" style="6" hidden="1" customWidth="1"/>
    <col min="16" max="16" width="14.28515625" style="6" customWidth="1"/>
    <col min="17" max="17" width="13.140625" style="6" customWidth="1"/>
    <col min="18" max="210" width="9.140625" style="6"/>
    <col min="211" max="211" width="1.42578125" style="6" customWidth="1"/>
    <col min="212" max="212" width="59.5703125" style="6" customWidth="1"/>
    <col min="213" max="213" width="9.140625" style="6" customWidth="1"/>
    <col min="214" max="215" width="3.85546875" style="6" customWidth="1"/>
    <col min="216" max="216" width="10.5703125" style="6" customWidth="1"/>
    <col min="217" max="217" width="3.85546875" style="6" customWidth="1"/>
    <col min="218" max="220" width="14.42578125" style="6" customWidth="1"/>
    <col min="221" max="221" width="4.140625" style="6" customWidth="1"/>
    <col min="222" max="222" width="15" style="6" customWidth="1"/>
    <col min="223" max="224" width="9.140625" style="6" customWidth="1"/>
    <col min="225" max="225" width="11.5703125" style="6" customWidth="1"/>
    <col min="226" max="226" width="18.140625" style="6" customWidth="1"/>
    <col min="227" max="227" width="13.140625" style="6" customWidth="1"/>
    <col min="228" max="228" width="12.28515625" style="6" customWidth="1"/>
    <col min="229" max="466" width="9.140625" style="6"/>
    <col min="467" max="467" width="1.42578125" style="6" customWidth="1"/>
    <col min="468" max="468" width="59.5703125" style="6" customWidth="1"/>
    <col min="469" max="469" width="9.140625" style="6" customWidth="1"/>
    <col min="470" max="471" width="3.85546875" style="6" customWidth="1"/>
    <col min="472" max="472" width="10.5703125" style="6" customWidth="1"/>
    <col min="473" max="473" width="3.85546875" style="6" customWidth="1"/>
    <col min="474" max="476" width="14.42578125" style="6" customWidth="1"/>
    <col min="477" max="477" width="4.140625" style="6" customWidth="1"/>
    <col min="478" max="478" width="15" style="6" customWidth="1"/>
    <col min="479" max="480" width="9.140625" style="6" customWidth="1"/>
    <col min="481" max="481" width="11.5703125" style="6" customWidth="1"/>
    <col min="482" max="482" width="18.140625" style="6" customWidth="1"/>
    <col min="483" max="483" width="13.140625" style="6" customWidth="1"/>
    <col min="484" max="484" width="12.28515625" style="6" customWidth="1"/>
    <col min="485" max="722" width="9.140625" style="6"/>
    <col min="723" max="723" width="1.42578125" style="6" customWidth="1"/>
    <col min="724" max="724" width="59.5703125" style="6" customWidth="1"/>
    <col min="725" max="725" width="9.140625" style="6" customWidth="1"/>
    <col min="726" max="727" width="3.85546875" style="6" customWidth="1"/>
    <col min="728" max="728" width="10.5703125" style="6" customWidth="1"/>
    <col min="729" max="729" width="3.85546875" style="6" customWidth="1"/>
    <col min="730" max="732" width="14.42578125" style="6" customWidth="1"/>
    <col min="733" max="733" width="4.140625" style="6" customWidth="1"/>
    <col min="734" max="734" width="15" style="6" customWidth="1"/>
    <col min="735" max="736" width="9.140625" style="6" customWidth="1"/>
    <col min="737" max="737" width="11.5703125" style="6" customWidth="1"/>
    <col min="738" max="738" width="18.140625" style="6" customWidth="1"/>
    <col min="739" max="739" width="13.140625" style="6" customWidth="1"/>
    <col min="740" max="740" width="12.28515625" style="6" customWidth="1"/>
    <col min="741" max="978" width="9.140625" style="6"/>
    <col min="979" max="979" width="1.42578125" style="6" customWidth="1"/>
    <col min="980" max="980" width="59.5703125" style="6" customWidth="1"/>
    <col min="981" max="981" width="9.140625" style="6" customWidth="1"/>
    <col min="982" max="983" width="3.85546875" style="6" customWidth="1"/>
    <col min="984" max="984" width="10.5703125" style="6" customWidth="1"/>
    <col min="985" max="985" width="3.85546875" style="6" customWidth="1"/>
    <col min="986" max="988" width="14.42578125" style="6" customWidth="1"/>
    <col min="989" max="989" width="4.140625" style="6" customWidth="1"/>
    <col min="990" max="990" width="15" style="6" customWidth="1"/>
    <col min="991" max="992" width="9.140625" style="6" customWidth="1"/>
    <col min="993" max="993" width="11.5703125" style="6" customWidth="1"/>
    <col min="994" max="994" width="18.140625" style="6" customWidth="1"/>
    <col min="995" max="995" width="13.140625" style="6" customWidth="1"/>
    <col min="996" max="996" width="12.28515625" style="6" customWidth="1"/>
    <col min="997" max="1234" width="9.140625" style="6"/>
    <col min="1235" max="1235" width="1.42578125" style="6" customWidth="1"/>
    <col min="1236" max="1236" width="59.5703125" style="6" customWidth="1"/>
    <col min="1237" max="1237" width="9.140625" style="6" customWidth="1"/>
    <col min="1238" max="1239" width="3.85546875" style="6" customWidth="1"/>
    <col min="1240" max="1240" width="10.5703125" style="6" customWidth="1"/>
    <col min="1241" max="1241" width="3.85546875" style="6" customWidth="1"/>
    <col min="1242" max="1244" width="14.42578125" style="6" customWidth="1"/>
    <col min="1245" max="1245" width="4.140625" style="6" customWidth="1"/>
    <col min="1246" max="1246" width="15" style="6" customWidth="1"/>
    <col min="1247" max="1248" width="9.140625" style="6" customWidth="1"/>
    <col min="1249" max="1249" width="11.5703125" style="6" customWidth="1"/>
    <col min="1250" max="1250" width="18.140625" style="6" customWidth="1"/>
    <col min="1251" max="1251" width="13.140625" style="6" customWidth="1"/>
    <col min="1252" max="1252" width="12.28515625" style="6" customWidth="1"/>
    <col min="1253" max="1490" width="9.140625" style="6"/>
    <col min="1491" max="1491" width="1.42578125" style="6" customWidth="1"/>
    <col min="1492" max="1492" width="59.5703125" style="6" customWidth="1"/>
    <col min="1493" max="1493" width="9.140625" style="6" customWidth="1"/>
    <col min="1494" max="1495" width="3.85546875" style="6" customWidth="1"/>
    <col min="1496" max="1496" width="10.5703125" style="6" customWidth="1"/>
    <col min="1497" max="1497" width="3.85546875" style="6" customWidth="1"/>
    <col min="1498" max="1500" width="14.42578125" style="6" customWidth="1"/>
    <col min="1501" max="1501" width="4.140625" style="6" customWidth="1"/>
    <col min="1502" max="1502" width="15" style="6" customWidth="1"/>
    <col min="1503" max="1504" width="9.140625" style="6" customWidth="1"/>
    <col min="1505" max="1505" width="11.5703125" style="6" customWidth="1"/>
    <col min="1506" max="1506" width="18.140625" style="6" customWidth="1"/>
    <col min="1507" max="1507" width="13.140625" style="6" customWidth="1"/>
    <col min="1508" max="1508" width="12.28515625" style="6" customWidth="1"/>
    <col min="1509" max="1746" width="9.140625" style="6"/>
    <col min="1747" max="1747" width="1.42578125" style="6" customWidth="1"/>
    <col min="1748" max="1748" width="59.5703125" style="6" customWidth="1"/>
    <col min="1749" max="1749" width="9.140625" style="6" customWidth="1"/>
    <col min="1750" max="1751" width="3.85546875" style="6" customWidth="1"/>
    <col min="1752" max="1752" width="10.5703125" style="6" customWidth="1"/>
    <col min="1753" max="1753" width="3.85546875" style="6" customWidth="1"/>
    <col min="1754" max="1756" width="14.42578125" style="6" customWidth="1"/>
    <col min="1757" max="1757" width="4.140625" style="6" customWidth="1"/>
    <col min="1758" max="1758" width="15" style="6" customWidth="1"/>
    <col min="1759" max="1760" width="9.140625" style="6" customWidth="1"/>
    <col min="1761" max="1761" width="11.5703125" style="6" customWidth="1"/>
    <col min="1762" max="1762" width="18.140625" style="6" customWidth="1"/>
    <col min="1763" max="1763" width="13.140625" style="6" customWidth="1"/>
    <col min="1764" max="1764" width="12.28515625" style="6" customWidth="1"/>
    <col min="1765" max="2002" width="9.140625" style="6"/>
    <col min="2003" max="2003" width="1.42578125" style="6" customWidth="1"/>
    <col min="2004" max="2004" width="59.5703125" style="6" customWidth="1"/>
    <col min="2005" max="2005" width="9.140625" style="6" customWidth="1"/>
    <col min="2006" max="2007" width="3.85546875" style="6" customWidth="1"/>
    <col min="2008" max="2008" width="10.5703125" style="6" customWidth="1"/>
    <col min="2009" max="2009" width="3.85546875" style="6" customWidth="1"/>
    <col min="2010" max="2012" width="14.42578125" style="6" customWidth="1"/>
    <col min="2013" max="2013" width="4.140625" style="6" customWidth="1"/>
    <col min="2014" max="2014" width="15" style="6" customWidth="1"/>
    <col min="2015" max="2016" width="9.140625" style="6" customWidth="1"/>
    <col min="2017" max="2017" width="11.5703125" style="6" customWidth="1"/>
    <col min="2018" max="2018" width="18.140625" style="6" customWidth="1"/>
    <col min="2019" max="2019" width="13.140625" style="6" customWidth="1"/>
    <col min="2020" max="2020" width="12.28515625" style="6" customWidth="1"/>
    <col min="2021" max="2258" width="9.140625" style="6"/>
    <col min="2259" max="2259" width="1.42578125" style="6" customWidth="1"/>
    <col min="2260" max="2260" width="59.5703125" style="6" customWidth="1"/>
    <col min="2261" max="2261" width="9.140625" style="6" customWidth="1"/>
    <col min="2262" max="2263" width="3.85546875" style="6" customWidth="1"/>
    <col min="2264" max="2264" width="10.5703125" style="6" customWidth="1"/>
    <col min="2265" max="2265" width="3.85546875" style="6" customWidth="1"/>
    <col min="2266" max="2268" width="14.42578125" style="6" customWidth="1"/>
    <col min="2269" max="2269" width="4.140625" style="6" customWidth="1"/>
    <col min="2270" max="2270" width="15" style="6" customWidth="1"/>
    <col min="2271" max="2272" width="9.140625" style="6" customWidth="1"/>
    <col min="2273" max="2273" width="11.5703125" style="6" customWidth="1"/>
    <col min="2274" max="2274" width="18.140625" style="6" customWidth="1"/>
    <col min="2275" max="2275" width="13.140625" style="6" customWidth="1"/>
    <col min="2276" max="2276" width="12.28515625" style="6" customWidth="1"/>
    <col min="2277" max="2514" width="9.140625" style="6"/>
    <col min="2515" max="2515" width="1.42578125" style="6" customWidth="1"/>
    <col min="2516" max="2516" width="59.5703125" style="6" customWidth="1"/>
    <col min="2517" max="2517" width="9.140625" style="6" customWidth="1"/>
    <col min="2518" max="2519" width="3.85546875" style="6" customWidth="1"/>
    <col min="2520" max="2520" width="10.5703125" style="6" customWidth="1"/>
    <col min="2521" max="2521" width="3.85546875" style="6" customWidth="1"/>
    <col min="2522" max="2524" width="14.42578125" style="6" customWidth="1"/>
    <col min="2525" max="2525" width="4.140625" style="6" customWidth="1"/>
    <col min="2526" max="2526" width="15" style="6" customWidth="1"/>
    <col min="2527" max="2528" width="9.140625" style="6" customWidth="1"/>
    <col min="2529" max="2529" width="11.5703125" style="6" customWidth="1"/>
    <col min="2530" max="2530" width="18.140625" style="6" customWidth="1"/>
    <col min="2531" max="2531" width="13.140625" style="6" customWidth="1"/>
    <col min="2532" max="2532" width="12.28515625" style="6" customWidth="1"/>
    <col min="2533" max="2770" width="9.140625" style="6"/>
    <col min="2771" max="2771" width="1.42578125" style="6" customWidth="1"/>
    <col min="2772" max="2772" width="59.5703125" style="6" customWidth="1"/>
    <col min="2773" max="2773" width="9.140625" style="6" customWidth="1"/>
    <col min="2774" max="2775" width="3.85546875" style="6" customWidth="1"/>
    <col min="2776" max="2776" width="10.5703125" style="6" customWidth="1"/>
    <col min="2777" max="2777" width="3.85546875" style="6" customWidth="1"/>
    <col min="2778" max="2780" width="14.42578125" style="6" customWidth="1"/>
    <col min="2781" max="2781" width="4.140625" style="6" customWidth="1"/>
    <col min="2782" max="2782" width="15" style="6" customWidth="1"/>
    <col min="2783" max="2784" width="9.140625" style="6" customWidth="1"/>
    <col min="2785" max="2785" width="11.5703125" style="6" customWidth="1"/>
    <col min="2786" max="2786" width="18.140625" style="6" customWidth="1"/>
    <col min="2787" max="2787" width="13.140625" style="6" customWidth="1"/>
    <col min="2788" max="2788" width="12.28515625" style="6" customWidth="1"/>
    <col min="2789" max="3026" width="9.140625" style="6"/>
    <col min="3027" max="3027" width="1.42578125" style="6" customWidth="1"/>
    <col min="3028" max="3028" width="59.5703125" style="6" customWidth="1"/>
    <col min="3029" max="3029" width="9.140625" style="6" customWidth="1"/>
    <col min="3030" max="3031" width="3.85546875" style="6" customWidth="1"/>
    <col min="3032" max="3032" width="10.5703125" style="6" customWidth="1"/>
    <col min="3033" max="3033" width="3.85546875" style="6" customWidth="1"/>
    <col min="3034" max="3036" width="14.42578125" style="6" customWidth="1"/>
    <col min="3037" max="3037" width="4.140625" style="6" customWidth="1"/>
    <col min="3038" max="3038" width="15" style="6" customWidth="1"/>
    <col min="3039" max="3040" width="9.140625" style="6" customWidth="1"/>
    <col min="3041" max="3041" width="11.5703125" style="6" customWidth="1"/>
    <col min="3042" max="3042" width="18.140625" style="6" customWidth="1"/>
    <col min="3043" max="3043" width="13.140625" style="6" customWidth="1"/>
    <col min="3044" max="3044" width="12.28515625" style="6" customWidth="1"/>
    <col min="3045" max="3282" width="9.140625" style="6"/>
    <col min="3283" max="3283" width="1.42578125" style="6" customWidth="1"/>
    <col min="3284" max="3284" width="59.5703125" style="6" customWidth="1"/>
    <col min="3285" max="3285" width="9.140625" style="6" customWidth="1"/>
    <col min="3286" max="3287" width="3.85546875" style="6" customWidth="1"/>
    <col min="3288" max="3288" width="10.5703125" style="6" customWidth="1"/>
    <col min="3289" max="3289" width="3.85546875" style="6" customWidth="1"/>
    <col min="3290" max="3292" width="14.42578125" style="6" customWidth="1"/>
    <col min="3293" max="3293" width="4.140625" style="6" customWidth="1"/>
    <col min="3294" max="3294" width="15" style="6" customWidth="1"/>
    <col min="3295" max="3296" width="9.140625" style="6" customWidth="1"/>
    <col min="3297" max="3297" width="11.5703125" style="6" customWidth="1"/>
    <col min="3298" max="3298" width="18.140625" style="6" customWidth="1"/>
    <col min="3299" max="3299" width="13.140625" style="6" customWidth="1"/>
    <col min="3300" max="3300" width="12.28515625" style="6" customWidth="1"/>
    <col min="3301" max="3538" width="9.140625" style="6"/>
    <col min="3539" max="3539" width="1.42578125" style="6" customWidth="1"/>
    <col min="3540" max="3540" width="59.5703125" style="6" customWidth="1"/>
    <col min="3541" max="3541" width="9.140625" style="6" customWidth="1"/>
    <col min="3542" max="3543" width="3.85546875" style="6" customWidth="1"/>
    <col min="3544" max="3544" width="10.5703125" style="6" customWidth="1"/>
    <col min="3545" max="3545" width="3.85546875" style="6" customWidth="1"/>
    <col min="3546" max="3548" width="14.42578125" style="6" customWidth="1"/>
    <col min="3549" max="3549" width="4.140625" style="6" customWidth="1"/>
    <col min="3550" max="3550" width="15" style="6" customWidth="1"/>
    <col min="3551" max="3552" width="9.140625" style="6" customWidth="1"/>
    <col min="3553" max="3553" width="11.5703125" style="6" customWidth="1"/>
    <col min="3554" max="3554" width="18.140625" style="6" customWidth="1"/>
    <col min="3555" max="3555" width="13.140625" style="6" customWidth="1"/>
    <col min="3556" max="3556" width="12.28515625" style="6" customWidth="1"/>
    <col min="3557" max="3794" width="9.140625" style="6"/>
    <col min="3795" max="3795" width="1.42578125" style="6" customWidth="1"/>
    <col min="3796" max="3796" width="59.5703125" style="6" customWidth="1"/>
    <col min="3797" max="3797" width="9.140625" style="6" customWidth="1"/>
    <col min="3798" max="3799" width="3.85546875" style="6" customWidth="1"/>
    <col min="3800" max="3800" width="10.5703125" style="6" customWidth="1"/>
    <col min="3801" max="3801" width="3.85546875" style="6" customWidth="1"/>
    <col min="3802" max="3804" width="14.42578125" style="6" customWidth="1"/>
    <col min="3805" max="3805" width="4.140625" style="6" customWidth="1"/>
    <col min="3806" max="3806" width="15" style="6" customWidth="1"/>
    <col min="3807" max="3808" width="9.140625" style="6" customWidth="1"/>
    <col min="3809" max="3809" width="11.5703125" style="6" customWidth="1"/>
    <col min="3810" max="3810" width="18.140625" style="6" customWidth="1"/>
    <col min="3811" max="3811" width="13.140625" style="6" customWidth="1"/>
    <col min="3812" max="3812" width="12.28515625" style="6" customWidth="1"/>
    <col min="3813" max="4050" width="9.140625" style="6"/>
    <col min="4051" max="4051" width="1.42578125" style="6" customWidth="1"/>
    <col min="4052" max="4052" width="59.5703125" style="6" customWidth="1"/>
    <col min="4053" max="4053" width="9.140625" style="6" customWidth="1"/>
    <col min="4054" max="4055" width="3.85546875" style="6" customWidth="1"/>
    <col min="4056" max="4056" width="10.5703125" style="6" customWidth="1"/>
    <col min="4057" max="4057" width="3.85546875" style="6" customWidth="1"/>
    <col min="4058" max="4060" width="14.42578125" style="6" customWidth="1"/>
    <col min="4061" max="4061" width="4.140625" style="6" customWidth="1"/>
    <col min="4062" max="4062" width="15" style="6" customWidth="1"/>
    <col min="4063" max="4064" width="9.140625" style="6" customWidth="1"/>
    <col min="4065" max="4065" width="11.5703125" style="6" customWidth="1"/>
    <col min="4066" max="4066" width="18.140625" style="6" customWidth="1"/>
    <col min="4067" max="4067" width="13.140625" style="6" customWidth="1"/>
    <col min="4068" max="4068" width="12.28515625" style="6" customWidth="1"/>
    <col min="4069" max="4306" width="9.140625" style="6"/>
    <col min="4307" max="4307" width="1.42578125" style="6" customWidth="1"/>
    <col min="4308" max="4308" width="59.5703125" style="6" customWidth="1"/>
    <col min="4309" max="4309" width="9.140625" style="6" customWidth="1"/>
    <col min="4310" max="4311" width="3.85546875" style="6" customWidth="1"/>
    <col min="4312" max="4312" width="10.5703125" style="6" customWidth="1"/>
    <col min="4313" max="4313" width="3.85546875" style="6" customWidth="1"/>
    <col min="4314" max="4316" width="14.42578125" style="6" customWidth="1"/>
    <col min="4317" max="4317" width="4.140625" style="6" customWidth="1"/>
    <col min="4318" max="4318" width="15" style="6" customWidth="1"/>
    <col min="4319" max="4320" width="9.140625" style="6" customWidth="1"/>
    <col min="4321" max="4321" width="11.5703125" style="6" customWidth="1"/>
    <col min="4322" max="4322" width="18.140625" style="6" customWidth="1"/>
    <col min="4323" max="4323" width="13.140625" style="6" customWidth="1"/>
    <col min="4324" max="4324" width="12.28515625" style="6" customWidth="1"/>
    <col min="4325" max="4562" width="9.140625" style="6"/>
    <col min="4563" max="4563" width="1.42578125" style="6" customWidth="1"/>
    <col min="4564" max="4564" width="59.5703125" style="6" customWidth="1"/>
    <col min="4565" max="4565" width="9.140625" style="6" customWidth="1"/>
    <col min="4566" max="4567" width="3.85546875" style="6" customWidth="1"/>
    <col min="4568" max="4568" width="10.5703125" style="6" customWidth="1"/>
    <col min="4569" max="4569" width="3.85546875" style="6" customWidth="1"/>
    <col min="4570" max="4572" width="14.42578125" style="6" customWidth="1"/>
    <col min="4573" max="4573" width="4.140625" style="6" customWidth="1"/>
    <col min="4574" max="4574" width="15" style="6" customWidth="1"/>
    <col min="4575" max="4576" width="9.140625" style="6" customWidth="1"/>
    <col min="4577" max="4577" width="11.5703125" style="6" customWidth="1"/>
    <col min="4578" max="4578" width="18.140625" style="6" customWidth="1"/>
    <col min="4579" max="4579" width="13.140625" style="6" customWidth="1"/>
    <col min="4580" max="4580" width="12.28515625" style="6" customWidth="1"/>
    <col min="4581" max="4818" width="9.140625" style="6"/>
    <col min="4819" max="4819" width="1.42578125" style="6" customWidth="1"/>
    <col min="4820" max="4820" width="59.5703125" style="6" customWidth="1"/>
    <col min="4821" max="4821" width="9.140625" style="6" customWidth="1"/>
    <col min="4822" max="4823" width="3.85546875" style="6" customWidth="1"/>
    <col min="4824" max="4824" width="10.5703125" style="6" customWidth="1"/>
    <col min="4825" max="4825" width="3.85546875" style="6" customWidth="1"/>
    <col min="4826" max="4828" width="14.42578125" style="6" customWidth="1"/>
    <col min="4829" max="4829" width="4.140625" style="6" customWidth="1"/>
    <col min="4830" max="4830" width="15" style="6" customWidth="1"/>
    <col min="4831" max="4832" width="9.140625" style="6" customWidth="1"/>
    <col min="4833" max="4833" width="11.5703125" style="6" customWidth="1"/>
    <col min="4834" max="4834" width="18.140625" style="6" customWidth="1"/>
    <col min="4835" max="4835" width="13.140625" style="6" customWidth="1"/>
    <col min="4836" max="4836" width="12.28515625" style="6" customWidth="1"/>
    <col min="4837" max="5074" width="9.140625" style="6"/>
    <col min="5075" max="5075" width="1.42578125" style="6" customWidth="1"/>
    <col min="5076" max="5076" width="59.5703125" style="6" customWidth="1"/>
    <col min="5077" max="5077" width="9.140625" style="6" customWidth="1"/>
    <col min="5078" max="5079" width="3.85546875" style="6" customWidth="1"/>
    <col min="5080" max="5080" width="10.5703125" style="6" customWidth="1"/>
    <col min="5081" max="5081" width="3.85546875" style="6" customWidth="1"/>
    <col min="5082" max="5084" width="14.42578125" style="6" customWidth="1"/>
    <col min="5085" max="5085" width="4.140625" style="6" customWidth="1"/>
    <col min="5086" max="5086" width="15" style="6" customWidth="1"/>
    <col min="5087" max="5088" width="9.140625" style="6" customWidth="1"/>
    <col min="5089" max="5089" width="11.5703125" style="6" customWidth="1"/>
    <col min="5090" max="5090" width="18.140625" style="6" customWidth="1"/>
    <col min="5091" max="5091" width="13.140625" style="6" customWidth="1"/>
    <col min="5092" max="5092" width="12.28515625" style="6" customWidth="1"/>
    <col min="5093" max="5330" width="9.140625" style="6"/>
    <col min="5331" max="5331" width="1.42578125" style="6" customWidth="1"/>
    <col min="5332" max="5332" width="59.5703125" style="6" customWidth="1"/>
    <col min="5333" max="5333" width="9.140625" style="6" customWidth="1"/>
    <col min="5334" max="5335" width="3.85546875" style="6" customWidth="1"/>
    <col min="5336" max="5336" width="10.5703125" style="6" customWidth="1"/>
    <col min="5337" max="5337" width="3.85546875" style="6" customWidth="1"/>
    <col min="5338" max="5340" width="14.42578125" style="6" customWidth="1"/>
    <col min="5341" max="5341" width="4.140625" style="6" customWidth="1"/>
    <col min="5342" max="5342" width="15" style="6" customWidth="1"/>
    <col min="5343" max="5344" width="9.140625" style="6" customWidth="1"/>
    <col min="5345" max="5345" width="11.5703125" style="6" customWidth="1"/>
    <col min="5346" max="5346" width="18.140625" style="6" customWidth="1"/>
    <col min="5347" max="5347" width="13.140625" style="6" customWidth="1"/>
    <col min="5348" max="5348" width="12.28515625" style="6" customWidth="1"/>
    <col min="5349" max="5586" width="9.140625" style="6"/>
    <col min="5587" max="5587" width="1.42578125" style="6" customWidth="1"/>
    <col min="5588" max="5588" width="59.5703125" style="6" customWidth="1"/>
    <col min="5589" max="5589" width="9.140625" style="6" customWidth="1"/>
    <col min="5590" max="5591" width="3.85546875" style="6" customWidth="1"/>
    <col min="5592" max="5592" width="10.5703125" style="6" customWidth="1"/>
    <col min="5593" max="5593" width="3.85546875" style="6" customWidth="1"/>
    <col min="5594" max="5596" width="14.42578125" style="6" customWidth="1"/>
    <col min="5597" max="5597" width="4.140625" style="6" customWidth="1"/>
    <col min="5598" max="5598" width="15" style="6" customWidth="1"/>
    <col min="5599" max="5600" width="9.140625" style="6" customWidth="1"/>
    <col min="5601" max="5601" width="11.5703125" style="6" customWidth="1"/>
    <col min="5602" max="5602" width="18.140625" style="6" customWidth="1"/>
    <col min="5603" max="5603" width="13.140625" style="6" customWidth="1"/>
    <col min="5604" max="5604" width="12.28515625" style="6" customWidth="1"/>
    <col min="5605" max="5842" width="9.140625" style="6"/>
    <col min="5843" max="5843" width="1.42578125" style="6" customWidth="1"/>
    <col min="5844" max="5844" width="59.5703125" style="6" customWidth="1"/>
    <col min="5845" max="5845" width="9.140625" style="6" customWidth="1"/>
    <col min="5846" max="5847" width="3.85546875" style="6" customWidth="1"/>
    <col min="5848" max="5848" width="10.5703125" style="6" customWidth="1"/>
    <col min="5849" max="5849" width="3.85546875" style="6" customWidth="1"/>
    <col min="5850" max="5852" width="14.42578125" style="6" customWidth="1"/>
    <col min="5853" max="5853" width="4.140625" style="6" customWidth="1"/>
    <col min="5854" max="5854" width="15" style="6" customWidth="1"/>
    <col min="5855" max="5856" width="9.140625" style="6" customWidth="1"/>
    <col min="5857" max="5857" width="11.5703125" style="6" customWidth="1"/>
    <col min="5858" max="5858" width="18.140625" style="6" customWidth="1"/>
    <col min="5859" max="5859" width="13.140625" style="6" customWidth="1"/>
    <col min="5860" max="5860" width="12.28515625" style="6" customWidth="1"/>
    <col min="5861" max="6098" width="9.140625" style="6"/>
    <col min="6099" max="6099" width="1.42578125" style="6" customWidth="1"/>
    <col min="6100" max="6100" width="59.5703125" style="6" customWidth="1"/>
    <col min="6101" max="6101" width="9.140625" style="6" customWidth="1"/>
    <col min="6102" max="6103" width="3.85546875" style="6" customWidth="1"/>
    <col min="6104" max="6104" width="10.5703125" style="6" customWidth="1"/>
    <col min="6105" max="6105" width="3.85546875" style="6" customWidth="1"/>
    <col min="6106" max="6108" width="14.42578125" style="6" customWidth="1"/>
    <col min="6109" max="6109" width="4.140625" style="6" customWidth="1"/>
    <col min="6110" max="6110" width="15" style="6" customWidth="1"/>
    <col min="6111" max="6112" width="9.140625" style="6" customWidth="1"/>
    <col min="6113" max="6113" width="11.5703125" style="6" customWidth="1"/>
    <col min="6114" max="6114" width="18.140625" style="6" customWidth="1"/>
    <col min="6115" max="6115" width="13.140625" style="6" customWidth="1"/>
    <col min="6116" max="6116" width="12.28515625" style="6" customWidth="1"/>
    <col min="6117" max="6354" width="9.140625" style="6"/>
    <col min="6355" max="6355" width="1.42578125" style="6" customWidth="1"/>
    <col min="6356" max="6356" width="59.5703125" style="6" customWidth="1"/>
    <col min="6357" max="6357" width="9.140625" style="6" customWidth="1"/>
    <col min="6358" max="6359" width="3.85546875" style="6" customWidth="1"/>
    <col min="6360" max="6360" width="10.5703125" style="6" customWidth="1"/>
    <col min="6361" max="6361" width="3.85546875" style="6" customWidth="1"/>
    <col min="6362" max="6364" width="14.42578125" style="6" customWidth="1"/>
    <col min="6365" max="6365" width="4.140625" style="6" customWidth="1"/>
    <col min="6366" max="6366" width="15" style="6" customWidth="1"/>
    <col min="6367" max="6368" width="9.140625" style="6" customWidth="1"/>
    <col min="6369" max="6369" width="11.5703125" style="6" customWidth="1"/>
    <col min="6370" max="6370" width="18.140625" style="6" customWidth="1"/>
    <col min="6371" max="6371" width="13.140625" style="6" customWidth="1"/>
    <col min="6372" max="6372" width="12.28515625" style="6" customWidth="1"/>
    <col min="6373" max="6610" width="9.140625" style="6"/>
    <col min="6611" max="6611" width="1.42578125" style="6" customWidth="1"/>
    <col min="6612" max="6612" width="59.5703125" style="6" customWidth="1"/>
    <col min="6613" max="6613" width="9.140625" style="6" customWidth="1"/>
    <col min="6614" max="6615" width="3.85546875" style="6" customWidth="1"/>
    <col min="6616" max="6616" width="10.5703125" style="6" customWidth="1"/>
    <col min="6617" max="6617" width="3.85546875" style="6" customWidth="1"/>
    <col min="6618" max="6620" width="14.42578125" style="6" customWidth="1"/>
    <col min="6621" max="6621" width="4.140625" style="6" customWidth="1"/>
    <col min="6622" max="6622" width="15" style="6" customWidth="1"/>
    <col min="6623" max="6624" width="9.140625" style="6" customWidth="1"/>
    <col min="6625" max="6625" width="11.5703125" style="6" customWidth="1"/>
    <col min="6626" max="6626" width="18.140625" style="6" customWidth="1"/>
    <col min="6627" max="6627" width="13.140625" style="6" customWidth="1"/>
    <col min="6628" max="6628" width="12.28515625" style="6" customWidth="1"/>
    <col min="6629" max="6866" width="9.140625" style="6"/>
    <col min="6867" max="6867" width="1.42578125" style="6" customWidth="1"/>
    <col min="6868" max="6868" width="59.5703125" style="6" customWidth="1"/>
    <col min="6869" max="6869" width="9.140625" style="6" customWidth="1"/>
    <col min="6870" max="6871" width="3.85546875" style="6" customWidth="1"/>
    <col min="6872" max="6872" width="10.5703125" style="6" customWidth="1"/>
    <col min="6873" max="6873" width="3.85546875" style="6" customWidth="1"/>
    <col min="6874" max="6876" width="14.42578125" style="6" customWidth="1"/>
    <col min="6877" max="6877" width="4.140625" style="6" customWidth="1"/>
    <col min="6878" max="6878" width="15" style="6" customWidth="1"/>
    <col min="6879" max="6880" width="9.140625" style="6" customWidth="1"/>
    <col min="6881" max="6881" width="11.5703125" style="6" customWidth="1"/>
    <col min="6882" max="6882" width="18.140625" style="6" customWidth="1"/>
    <col min="6883" max="6883" width="13.140625" style="6" customWidth="1"/>
    <col min="6884" max="6884" width="12.28515625" style="6" customWidth="1"/>
    <col min="6885" max="7122" width="9.140625" style="6"/>
    <col min="7123" max="7123" width="1.42578125" style="6" customWidth="1"/>
    <col min="7124" max="7124" width="59.5703125" style="6" customWidth="1"/>
    <col min="7125" max="7125" width="9.140625" style="6" customWidth="1"/>
    <col min="7126" max="7127" width="3.85546875" style="6" customWidth="1"/>
    <col min="7128" max="7128" width="10.5703125" style="6" customWidth="1"/>
    <col min="7129" max="7129" width="3.85546875" style="6" customWidth="1"/>
    <col min="7130" max="7132" width="14.42578125" style="6" customWidth="1"/>
    <col min="7133" max="7133" width="4.140625" style="6" customWidth="1"/>
    <col min="7134" max="7134" width="15" style="6" customWidth="1"/>
    <col min="7135" max="7136" width="9.140625" style="6" customWidth="1"/>
    <col min="7137" max="7137" width="11.5703125" style="6" customWidth="1"/>
    <col min="7138" max="7138" width="18.140625" style="6" customWidth="1"/>
    <col min="7139" max="7139" width="13.140625" style="6" customWidth="1"/>
    <col min="7140" max="7140" width="12.28515625" style="6" customWidth="1"/>
    <col min="7141" max="7378" width="9.140625" style="6"/>
    <col min="7379" max="7379" width="1.42578125" style="6" customWidth="1"/>
    <col min="7380" max="7380" width="59.5703125" style="6" customWidth="1"/>
    <col min="7381" max="7381" width="9.140625" style="6" customWidth="1"/>
    <col min="7382" max="7383" width="3.85546875" style="6" customWidth="1"/>
    <col min="7384" max="7384" width="10.5703125" style="6" customWidth="1"/>
    <col min="7385" max="7385" width="3.85546875" style="6" customWidth="1"/>
    <col min="7386" max="7388" width="14.42578125" style="6" customWidth="1"/>
    <col min="7389" max="7389" width="4.140625" style="6" customWidth="1"/>
    <col min="7390" max="7390" width="15" style="6" customWidth="1"/>
    <col min="7391" max="7392" width="9.140625" style="6" customWidth="1"/>
    <col min="7393" max="7393" width="11.5703125" style="6" customWidth="1"/>
    <col min="7394" max="7394" width="18.140625" style="6" customWidth="1"/>
    <col min="7395" max="7395" width="13.140625" style="6" customWidth="1"/>
    <col min="7396" max="7396" width="12.28515625" style="6" customWidth="1"/>
    <col min="7397" max="7634" width="9.140625" style="6"/>
    <col min="7635" max="7635" width="1.42578125" style="6" customWidth="1"/>
    <col min="7636" max="7636" width="59.5703125" style="6" customWidth="1"/>
    <col min="7637" max="7637" width="9.140625" style="6" customWidth="1"/>
    <col min="7638" max="7639" width="3.85546875" style="6" customWidth="1"/>
    <col min="7640" max="7640" width="10.5703125" style="6" customWidth="1"/>
    <col min="7641" max="7641" width="3.85546875" style="6" customWidth="1"/>
    <col min="7642" max="7644" width="14.42578125" style="6" customWidth="1"/>
    <col min="7645" max="7645" width="4.140625" style="6" customWidth="1"/>
    <col min="7646" max="7646" width="15" style="6" customWidth="1"/>
    <col min="7647" max="7648" width="9.140625" style="6" customWidth="1"/>
    <col min="7649" max="7649" width="11.5703125" style="6" customWidth="1"/>
    <col min="7650" max="7650" width="18.140625" style="6" customWidth="1"/>
    <col min="7651" max="7651" width="13.140625" style="6" customWidth="1"/>
    <col min="7652" max="7652" width="12.28515625" style="6" customWidth="1"/>
    <col min="7653" max="7890" width="9.140625" style="6"/>
    <col min="7891" max="7891" width="1.42578125" style="6" customWidth="1"/>
    <col min="7892" max="7892" width="59.5703125" style="6" customWidth="1"/>
    <col min="7893" max="7893" width="9.140625" style="6" customWidth="1"/>
    <col min="7894" max="7895" width="3.85546875" style="6" customWidth="1"/>
    <col min="7896" max="7896" width="10.5703125" style="6" customWidth="1"/>
    <col min="7897" max="7897" width="3.85546875" style="6" customWidth="1"/>
    <col min="7898" max="7900" width="14.42578125" style="6" customWidth="1"/>
    <col min="7901" max="7901" width="4.140625" style="6" customWidth="1"/>
    <col min="7902" max="7902" width="15" style="6" customWidth="1"/>
    <col min="7903" max="7904" width="9.140625" style="6" customWidth="1"/>
    <col min="7905" max="7905" width="11.5703125" style="6" customWidth="1"/>
    <col min="7906" max="7906" width="18.140625" style="6" customWidth="1"/>
    <col min="7907" max="7907" width="13.140625" style="6" customWidth="1"/>
    <col min="7908" max="7908" width="12.28515625" style="6" customWidth="1"/>
    <col min="7909" max="8146" width="9.140625" style="6"/>
    <col min="8147" max="8147" width="1.42578125" style="6" customWidth="1"/>
    <col min="8148" max="8148" width="59.5703125" style="6" customWidth="1"/>
    <col min="8149" max="8149" width="9.140625" style="6" customWidth="1"/>
    <col min="8150" max="8151" width="3.85546875" style="6" customWidth="1"/>
    <col min="8152" max="8152" width="10.5703125" style="6" customWidth="1"/>
    <col min="8153" max="8153" width="3.85546875" style="6" customWidth="1"/>
    <col min="8154" max="8156" width="14.42578125" style="6" customWidth="1"/>
    <col min="8157" max="8157" width="4.140625" style="6" customWidth="1"/>
    <col min="8158" max="8158" width="15" style="6" customWidth="1"/>
    <col min="8159" max="8160" width="9.140625" style="6" customWidth="1"/>
    <col min="8161" max="8161" width="11.5703125" style="6" customWidth="1"/>
    <col min="8162" max="8162" width="18.140625" style="6" customWidth="1"/>
    <col min="8163" max="8163" width="13.140625" style="6" customWidth="1"/>
    <col min="8164" max="8164" width="12.28515625" style="6" customWidth="1"/>
    <col min="8165" max="8402" width="9.140625" style="6"/>
    <col min="8403" max="8403" width="1.42578125" style="6" customWidth="1"/>
    <col min="8404" max="8404" width="59.5703125" style="6" customWidth="1"/>
    <col min="8405" max="8405" width="9.140625" style="6" customWidth="1"/>
    <col min="8406" max="8407" width="3.85546875" style="6" customWidth="1"/>
    <col min="8408" max="8408" width="10.5703125" style="6" customWidth="1"/>
    <col min="8409" max="8409" width="3.85546875" style="6" customWidth="1"/>
    <col min="8410" max="8412" width="14.42578125" style="6" customWidth="1"/>
    <col min="8413" max="8413" width="4.140625" style="6" customWidth="1"/>
    <col min="8414" max="8414" width="15" style="6" customWidth="1"/>
    <col min="8415" max="8416" width="9.140625" style="6" customWidth="1"/>
    <col min="8417" max="8417" width="11.5703125" style="6" customWidth="1"/>
    <col min="8418" max="8418" width="18.140625" style="6" customWidth="1"/>
    <col min="8419" max="8419" width="13.140625" style="6" customWidth="1"/>
    <col min="8420" max="8420" width="12.28515625" style="6" customWidth="1"/>
    <col min="8421" max="8658" width="9.140625" style="6"/>
    <col min="8659" max="8659" width="1.42578125" style="6" customWidth="1"/>
    <col min="8660" max="8660" width="59.5703125" style="6" customWidth="1"/>
    <col min="8661" max="8661" width="9.140625" style="6" customWidth="1"/>
    <col min="8662" max="8663" width="3.85546875" style="6" customWidth="1"/>
    <col min="8664" max="8664" width="10.5703125" style="6" customWidth="1"/>
    <col min="8665" max="8665" width="3.85546875" style="6" customWidth="1"/>
    <col min="8666" max="8668" width="14.42578125" style="6" customWidth="1"/>
    <col min="8669" max="8669" width="4.140625" style="6" customWidth="1"/>
    <col min="8670" max="8670" width="15" style="6" customWidth="1"/>
    <col min="8671" max="8672" width="9.140625" style="6" customWidth="1"/>
    <col min="8673" max="8673" width="11.5703125" style="6" customWidth="1"/>
    <col min="8674" max="8674" width="18.140625" style="6" customWidth="1"/>
    <col min="8675" max="8675" width="13.140625" style="6" customWidth="1"/>
    <col min="8676" max="8676" width="12.28515625" style="6" customWidth="1"/>
    <col min="8677" max="8914" width="9.140625" style="6"/>
    <col min="8915" max="8915" width="1.42578125" style="6" customWidth="1"/>
    <col min="8916" max="8916" width="59.5703125" style="6" customWidth="1"/>
    <col min="8917" max="8917" width="9.140625" style="6" customWidth="1"/>
    <col min="8918" max="8919" width="3.85546875" style="6" customWidth="1"/>
    <col min="8920" max="8920" width="10.5703125" style="6" customWidth="1"/>
    <col min="8921" max="8921" width="3.85546875" style="6" customWidth="1"/>
    <col min="8922" max="8924" width="14.42578125" style="6" customWidth="1"/>
    <col min="8925" max="8925" width="4.140625" style="6" customWidth="1"/>
    <col min="8926" max="8926" width="15" style="6" customWidth="1"/>
    <col min="8927" max="8928" width="9.140625" style="6" customWidth="1"/>
    <col min="8929" max="8929" width="11.5703125" style="6" customWidth="1"/>
    <col min="8930" max="8930" width="18.140625" style="6" customWidth="1"/>
    <col min="8931" max="8931" width="13.140625" style="6" customWidth="1"/>
    <col min="8932" max="8932" width="12.28515625" style="6" customWidth="1"/>
    <col min="8933" max="9170" width="9.140625" style="6"/>
    <col min="9171" max="9171" width="1.42578125" style="6" customWidth="1"/>
    <col min="9172" max="9172" width="59.5703125" style="6" customWidth="1"/>
    <col min="9173" max="9173" width="9.140625" style="6" customWidth="1"/>
    <col min="9174" max="9175" width="3.85546875" style="6" customWidth="1"/>
    <col min="9176" max="9176" width="10.5703125" style="6" customWidth="1"/>
    <col min="9177" max="9177" width="3.85546875" style="6" customWidth="1"/>
    <col min="9178" max="9180" width="14.42578125" style="6" customWidth="1"/>
    <col min="9181" max="9181" width="4.140625" style="6" customWidth="1"/>
    <col min="9182" max="9182" width="15" style="6" customWidth="1"/>
    <col min="9183" max="9184" width="9.140625" style="6" customWidth="1"/>
    <col min="9185" max="9185" width="11.5703125" style="6" customWidth="1"/>
    <col min="9186" max="9186" width="18.140625" style="6" customWidth="1"/>
    <col min="9187" max="9187" width="13.140625" style="6" customWidth="1"/>
    <col min="9188" max="9188" width="12.28515625" style="6" customWidth="1"/>
    <col min="9189" max="9426" width="9.140625" style="6"/>
    <col min="9427" max="9427" width="1.42578125" style="6" customWidth="1"/>
    <col min="9428" max="9428" width="59.5703125" style="6" customWidth="1"/>
    <col min="9429" max="9429" width="9.140625" style="6" customWidth="1"/>
    <col min="9430" max="9431" width="3.85546875" style="6" customWidth="1"/>
    <col min="9432" max="9432" width="10.5703125" style="6" customWidth="1"/>
    <col min="9433" max="9433" width="3.85546875" style="6" customWidth="1"/>
    <col min="9434" max="9436" width="14.42578125" style="6" customWidth="1"/>
    <col min="9437" max="9437" width="4.140625" style="6" customWidth="1"/>
    <col min="9438" max="9438" width="15" style="6" customWidth="1"/>
    <col min="9439" max="9440" width="9.140625" style="6" customWidth="1"/>
    <col min="9441" max="9441" width="11.5703125" style="6" customWidth="1"/>
    <col min="9442" max="9442" width="18.140625" style="6" customWidth="1"/>
    <col min="9443" max="9443" width="13.140625" style="6" customWidth="1"/>
    <col min="9444" max="9444" width="12.28515625" style="6" customWidth="1"/>
    <col min="9445" max="9682" width="9.140625" style="6"/>
    <col min="9683" max="9683" width="1.42578125" style="6" customWidth="1"/>
    <col min="9684" max="9684" width="59.5703125" style="6" customWidth="1"/>
    <col min="9685" max="9685" width="9.140625" style="6" customWidth="1"/>
    <col min="9686" max="9687" width="3.85546875" style="6" customWidth="1"/>
    <col min="9688" max="9688" width="10.5703125" style="6" customWidth="1"/>
    <col min="9689" max="9689" width="3.85546875" style="6" customWidth="1"/>
    <col min="9690" max="9692" width="14.42578125" style="6" customWidth="1"/>
    <col min="9693" max="9693" width="4.140625" style="6" customWidth="1"/>
    <col min="9694" max="9694" width="15" style="6" customWidth="1"/>
    <col min="9695" max="9696" width="9.140625" style="6" customWidth="1"/>
    <col min="9697" max="9697" width="11.5703125" style="6" customWidth="1"/>
    <col min="9698" max="9698" width="18.140625" style="6" customWidth="1"/>
    <col min="9699" max="9699" width="13.140625" style="6" customWidth="1"/>
    <col min="9700" max="9700" width="12.28515625" style="6" customWidth="1"/>
    <col min="9701" max="9938" width="9.140625" style="6"/>
    <col min="9939" max="9939" width="1.42578125" style="6" customWidth="1"/>
    <col min="9940" max="9940" width="59.5703125" style="6" customWidth="1"/>
    <col min="9941" max="9941" width="9.140625" style="6" customWidth="1"/>
    <col min="9942" max="9943" width="3.85546875" style="6" customWidth="1"/>
    <col min="9944" max="9944" width="10.5703125" style="6" customWidth="1"/>
    <col min="9945" max="9945" width="3.85546875" style="6" customWidth="1"/>
    <col min="9946" max="9948" width="14.42578125" style="6" customWidth="1"/>
    <col min="9949" max="9949" width="4.140625" style="6" customWidth="1"/>
    <col min="9950" max="9950" width="15" style="6" customWidth="1"/>
    <col min="9951" max="9952" width="9.140625" style="6" customWidth="1"/>
    <col min="9953" max="9953" width="11.5703125" style="6" customWidth="1"/>
    <col min="9954" max="9954" width="18.140625" style="6" customWidth="1"/>
    <col min="9955" max="9955" width="13.140625" style="6" customWidth="1"/>
    <col min="9956" max="9956" width="12.28515625" style="6" customWidth="1"/>
    <col min="9957" max="10194" width="9.140625" style="6"/>
    <col min="10195" max="10195" width="1.42578125" style="6" customWidth="1"/>
    <col min="10196" max="10196" width="59.5703125" style="6" customWidth="1"/>
    <col min="10197" max="10197" width="9.140625" style="6" customWidth="1"/>
    <col min="10198" max="10199" width="3.85546875" style="6" customWidth="1"/>
    <col min="10200" max="10200" width="10.5703125" style="6" customWidth="1"/>
    <col min="10201" max="10201" width="3.85546875" style="6" customWidth="1"/>
    <col min="10202" max="10204" width="14.42578125" style="6" customWidth="1"/>
    <col min="10205" max="10205" width="4.140625" style="6" customWidth="1"/>
    <col min="10206" max="10206" width="15" style="6" customWidth="1"/>
    <col min="10207" max="10208" width="9.140625" style="6" customWidth="1"/>
    <col min="10209" max="10209" width="11.5703125" style="6" customWidth="1"/>
    <col min="10210" max="10210" width="18.140625" style="6" customWidth="1"/>
    <col min="10211" max="10211" width="13.140625" style="6" customWidth="1"/>
    <col min="10212" max="10212" width="12.28515625" style="6" customWidth="1"/>
    <col min="10213" max="10450" width="9.140625" style="6"/>
    <col min="10451" max="10451" width="1.42578125" style="6" customWidth="1"/>
    <col min="10452" max="10452" width="59.5703125" style="6" customWidth="1"/>
    <col min="10453" max="10453" width="9.140625" style="6" customWidth="1"/>
    <col min="10454" max="10455" width="3.85546875" style="6" customWidth="1"/>
    <col min="10456" max="10456" width="10.5703125" style="6" customWidth="1"/>
    <col min="10457" max="10457" width="3.85546875" style="6" customWidth="1"/>
    <col min="10458" max="10460" width="14.42578125" style="6" customWidth="1"/>
    <col min="10461" max="10461" width="4.140625" style="6" customWidth="1"/>
    <col min="10462" max="10462" width="15" style="6" customWidth="1"/>
    <col min="10463" max="10464" width="9.140625" style="6" customWidth="1"/>
    <col min="10465" max="10465" width="11.5703125" style="6" customWidth="1"/>
    <col min="10466" max="10466" width="18.140625" style="6" customWidth="1"/>
    <col min="10467" max="10467" width="13.140625" style="6" customWidth="1"/>
    <col min="10468" max="10468" width="12.28515625" style="6" customWidth="1"/>
    <col min="10469" max="10706" width="9.140625" style="6"/>
    <col min="10707" max="10707" width="1.42578125" style="6" customWidth="1"/>
    <col min="10708" max="10708" width="59.5703125" style="6" customWidth="1"/>
    <col min="10709" max="10709" width="9.140625" style="6" customWidth="1"/>
    <col min="10710" max="10711" width="3.85546875" style="6" customWidth="1"/>
    <col min="10712" max="10712" width="10.5703125" style="6" customWidth="1"/>
    <col min="10713" max="10713" width="3.85546875" style="6" customWidth="1"/>
    <col min="10714" max="10716" width="14.42578125" style="6" customWidth="1"/>
    <col min="10717" max="10717" width="4.140625" style="6" customWidth="1"/>
    <col min="10718" max="10718" width="15" style="6" customWidth="1"/>
    <col min="10719" max="10720" width="9.140625" style="6" customWidth="1"/>
    <col min="10721" max="10721" width="11.5703125" style="6" customWidth="1"/>
    <col min="10722" max="10722" width="18.140625" style="6" customWidth="1"/>
    <col min="10723" max="10723" width="13.140625" style="6" customWidth="1"/>
    <col min="10724" max="10724" width="12.28515625" style="6" customWidth="1"/>
    <col min="10725" max="10962" width="9.140625" style="6"/>
    <col min="10963" max="10963" width="1.42578125" style="6" customWidth="1"/>
    <col min="10964" max="10964" width="59.5703125" style="6" customWidth="1"/>
    <col min="10965" max="10965" width="9.140625" style="6" customWidth="1"/>
    <col min="10966" max="10967" width="3.85546875" style="6" customWidth="1"/>
    <col min="10968" max="10968" width="10.5703125" style="6" customWidth="1"/>
    <col min="10969" max="10969" width="3.85546875" style="6" customWidth="1"/>
    <col min="10970" max="10972" width="14.42578125" style="6" customWidth="1"/>
    <col min="10973" max="10973" width="4.140625" style="6" customWidth="1"/>
    <col min="10974" max="10974" width="15" style="6" customWidth="1"/>
    <col min="10975" max="10976" width="9.140625" style="6" customWidth="1"/>
    <col min="10977" max="10977" width="11.5703125" style="6" customWidth="1"/>
    <col min="10978" max="10978" width="18.140625" style="6" customWidth="1"/>
    <col min="10979" max="10979" width="13.140625" style="6" customWidth="1"/>
    <col min="10980" max="10980" width="12.28515625" style="6" customWidth="1"/>
    <col min="10981" max="11218" width="9.140625" style="6"/>
    <col min="11219" max="11219" width="1.42578125" style="6" customWidth="1"/>
    <col min="11220" max="11220" width="59.5703125" style="6" customWidth="1"/>
    <col min="11221" max="11221" width="9.140625" style="6" customWidth="1"/>
    <col min="11222" max="11223" width="3.85546875" style="6" customWidth="1"/>
    <col min="11224" max="11224" width="10.5703125" style="6" customWidth="1"/>
    <col min="11225" max="11225" width="3.85546875" style="6" customWidth="1"/>
    <col min="11226" max="11228" width="14.42578125" style="6" customWidth="1"/>
    <col min="11229" max="11229" width="4.140625" style="6" customWidth="1"/>
    <col min="11230" max="11230" width="15" style="6" customWidth="1"/>
    <col min="11231" max="11232" width="9.140625" style="6" customWidth="1"/>
    <col min="11233" max="11233" width="11.5703125" style="6" customWidth="1"/>
    <col min="11234" max="11234" width="18.140625" style="6" customWidth="1"/>
    <col min="11235" max="11235" width="13.140625" style="6" customWidth="1"/>
    <col min="11236" max="11236" width="12.28515625" style="6" customWidth="1"/>
    <col min="11237" max="11474" width="9.140625" style="6"/>
    <col min="11475" max="11475" width="1.42578125" style="6" customWidth="1"/>
    <col min="11476" max="11476" width="59.5703125" style="6" customWidth="1"/>
    <col min="11477" max="11477" width="9.140625" style="6" customWidth="1"/>
    <col min="11478" max="11479" width="3.85546875" style="6" customWidth="1"/>
    <col min="11480" max="11480" width="10.5703125" style="6" customWidth="1"/>
    <col min="11481" max="11481" width="3.85546875" style="6" customWidth="1"/>
    <col min="11482" max="11484" width="14.42578125" style="6" customWidth="1"/>
    <col min="11485" max="11485" width="4.140625" style="6" customWidth="1"/>
    <col min="11486" max="11486" width="15" style="6" customWidth="1"/>
    <col min="11487" max="11488" width="9.140625" style="6" customWidth="1"/>
    <col min="11489" max="11489" width="11.5703125" style="6" customWidth="1"/>
    <col min="11490" max="11490" width="18.140625" style="6" customWidth="1"/>
    <col min="11491" max="11491" width="13.140625" style="6" customWidth="1"/>
    <col min="11492" max="11492" width="12.28515625" style="6" customWidth="1"/>
    <col min="11493" max="11730" width="9.140625" style="6"/>
    <col min="11731" max="11731" width="1.42578125" style="6" customWidth="1"/>
    <col min="11732" max="11732" width="59.5703125" style="6" customWidth="1"/>
    <col min="11733" max="11733" width="9.140625" style="6" customWidth="1"/>
    <col min="11734" max="11735" width="3.85546875" style="6" customWidth="1"/>
    <col min="11736" max="11736" width="10.5703125" style="6" customWidth="1"/>
    <col min="11737" max="11737" width="3.85546875" style="6" customWidth="1"/>
    <col min="11738" max="11740" width="14.42578125" style="6" customWidth="1"/>
    <col min="11741" max="11741" width="4.140625" style="6" customWidth="1"/>
    <col min="11742" max="11742" width="15" style="6" customWidth="1"/>
    <col min="11743" max="11744" width="9.140625" style="6" customWidth="1"/>
    <col min="11745" max="11745" width="11.5703125" style="6" customWidth="1"/>
    <col min="11746" max="11746" width="18.140625" style="6" customWidth="1"/>
    <col min="11747" max="11747" width="13.140625" style="6" customWidth="1"/>
    <col min="11748" max="11748" width="12.28515625" style="6" customWidth="1"/>
    <col min="11749" max="11986" width="9.140625" style="6"/>
    <col min="11987" max="11987" width="1.42578125" style="6" customWidth="1"/>
    <col min="11988" max="11988" width="59.5703125" style="6" customWidth="1"/>
    <col min="11989" max="11989" width="9.140625" style="6" customWidth="1"/>
    <col min="11990" max="11991" width="3.85546875" style="6" customWidth="1"/>
    <col min="11992" max="11992" width="10.5703125" style="6" customWidth="1"/>
    <col min="11993" max="11993" width="3.85546875" style="6" customWidth="1"/>
    <col min="11994" max="11996" width="14.42578125" style="6" customWidth="1"/>
    <col min="11997" max="11997" width="4.140625" style="6" customWidth="1"/>
    <col min="11998" max="11998" width="15" style="6" customWidth="1"/>
    <col min="11999" max="12000" width="9.140625" style="6" customWidth="1"/>
    <col min="12001" max="12001" width="11.5703125" style="6" customWidth="1"/>
    <col min="12002" max="12002" width="18.140625" style="6" customWidth="1"/>
    <col min="12003" max="12003" width="13.140625" style="6" customWidth="1"/>
    <col min="12004" max="12004" width="12.28515625" style="6" customWidth="1"/>
    <col min="12005" max="12242" width="9.140625" style="6"/>
    <col min="12243" max="12243" width="1.42578125" style="6" customWidth="1"/>
    <col min="12244" max="12244" width="59.5703125" style="6" customWidth="1"/>
    <col min="12245" max="12245" width="9.140625" style="6" customWidth="1"/>
    <col min="12246" max="12247" width="3.85546875" style="6" customWidth="1"/>
    <col min="12248" max="12248" width="10.5703125" style="6" customWidth="1"/>
    <col min="12249" max="12249" width="3.85546875" style="6" customWidth="1"/>
    <col min="12250" max="12252" width="14.42578125" style="6" customWidth="1"/>
    <col min="12253" max="12253" width="4.140625" style="6" customWidth="1"/>
    <col min="12254" max="12254" width="15" style="6" customWidth="1"/>
    <col min="12255" max="12256" width="9.140625" style="6" customWidth="1"/>
    <col min="12257" max="12257" width="11.5703125" style="6" customWidth="1"/>
    <col min="12258" max="12258" width="18.140625" style="6" customWidth="1"/>
    <col min="12259" max="12259" width="13.140625" style="6" customWidth="1"/>
    <col min="12260" max="12260" width="12.28515625" style="6" customWidth="1"/>
    <col min="12261" max="12498" width="9.140625" style="6"/>
    <col min="12499" max="12499" width="1.42578125" style="6" customWidth="1"/>
    <col min="12500" max="12500" width="59.5703125" style="6" customWidth="1"/>
    <col min="12501" max="12501" width="9.140625" style="6" customWidth="1"/>
    <col min="12502" max="12503" width="3.85546875" style="6" customWidth="1"/>
    <col min="12504" max="12504" width="10.5703125" style="6" customWidth="1"/>
    <col min="12505" max="12505" width="3.85546875" style="6" customWidth="1"/>
    <col min="12506" max="12508" width="14.42578125" style="6" customWidth="1"/>
    <col min="12509" max="12509" width="4.140625" style="6" customWidth="1"/>
    <col min="12510" max="12510" width="15" style="6" customWidth="1"/>
    <col min="12511" max="12512" width="9.140625" style="6" customWidth="1"/>
    <col min="12513" max="12513" width="11.5703125" style="6" customWidth="1"/>
    <col min="12514" max="12514" width="18.140625" style="6" customWidth="1"/>
    <col min="12515" max="12515" width="13.140625" style="6" customWidth="1"/>
    <col min="12516" max="12516" width="12.28515625" style="6" customWidth="1"/>
    <col min="12517" max="12754" width="9.140625" style="6"/>
    <col min="12755" max="12755" width="1.42578125" style="6" customWidth="1"/>
    <col min="12756" max="12756" width="59.5703125" style="6" customWidth="1"/>
    <col min="12757" max="12757" width="9.140625" style="6" customWidth="1"/>
    <col min="12758" max="12759" width="3.85546875" style="6" customWidth="1"/>
    <col min="12760" max="12760" width="10.5703125" style="6" customWidth="1"/>
    <col min="12761" max="12761" width="3.85546875" style="6" customWidth="1"/>
    <col min="12762" max="12764" width="14.42578125" style="6" customWidth="1"/>
    <col min="12765" max="12765" width="4.140625" style="6" customWidth="1"/>
    <col min="12766" max="12766" width="15" style="6" customWidth="1"/>
    <col min="12767" max="12768" width="9.140625" style="6" customWidth="1"/>
    <col min="12769" max="12769" width="11.5703125" style="6" customWidth="1"/>
    <col min="12770" max="12770" width="18.140625" style="6" customWidth="1"/>
    <col min="12771" max="12771" width="13.140625" style="6" customWidth="1"/>
    <col min="12772" max="12772" width="12.28515625" style="6" customWidth="1"/>
    <col min="12773" max="13010" width="9.140625" style="6"/>
    <col min="13011" max="13011" width="1.42578125" style="6" customWidth="1"/>
    <col min="13012" max="13012" width="59.5703125" style="6" customWidth="1"/>
    <col min="13013" max="13013" width="9.140625" style="6" customWidth="1"/>
    <col min="13014" max="13015" width="3.85546875" style="6" customWidth="1"/>
    <col min="13016" max="13016" width="10.5703125" style="6" customWidth="1"/>
    <col min="13017" max="13017" width="3.85546875" style="6" customWidth="1"/>
    <col min="13018" max="13020" width="14.42578125" style="6" customWidth="1"/>
    <col min="13021" max="13021" width="4.140625" style="6" customWidth="1"/>
    <col min="13022" max="13022" width="15" style="6" customWidth="1"/>
    <col min="13023" max="13024" width="9.140625" style="6" customWidth="1"/>
    <col min="13025" max="13025" width="11.5703125" style="6" customWidth="1"/>
    <col min="13026" max="13026" width="18.140625" style="6" customWidth="1"/>
    <col min="13027" max="13027" width="13.140625" style="6" customWidth="1"/>
    <col min="13028" max="13028" width="12.28515625" style="6" customWidth="1"/>
    <col min="13029" max="13266" width="9.140625" style="6"/>
    <col min="13267" max="13267" width="1.42578125" style="6" customWidth="1"/>
    <col min="13268" max="13268" width="59.5703125" style="6" customWidth="1"/>
    <col min="13269" max="13269" width="9.140625" style="6" customWidth="1"/>
    <col min="13270" max="13271" width="3.85546875" style="6" customWidth="1"/>
    <col min="13272" max="13272" width="10.5703125" style="6" customWidth="1"/>
    <col min="13273" max="13273" width="3.85546875" style="6" customWidth="1"/>
    <col min="13274" max="13276" width="14.42578125" style="6" customWidth="1"/>
    <col min="13277" max="13277" width="4.140625" style="6" customWidth="1"/>
    <col min="13278" max="13278" width="15" style="6" customWidth="1"/>
    <col min="13279" max="13280" width="9.140625" style="6" customWidth="1"/>
    <col min="13281" max="13281" width="11.5703125" style="6" customWidth="1"/>
    <col min="13282" max="13282" width="18.140625" style="6" customWidth="1"/>
    <col min="13283" max="13283" width="13.140625" style="6" customWidth="1"/>
    <col min="13284" max="13284" width="12.28515625" style="6" customWidth="1"/>
    <col min="13285" max="13522" width="9.140625" style="6"/>
    <col min="13523" max="13523" width="1.42578125" style="6" customWidth="1"/>
    <col min="13524" max="13524" width="59.5703125" style="6" customWidth="1"/>
    <col min="13525" max="13525" width="9.140625" style="6" customWidth="1"/>
    <col min="13526" max="13527" width="3.85546875" style="6" customWidth="1"/>
    <col min="13528" max="13528" width="10.5703125" style="6" customWidth="1"/>
    <col min="13529" max="13529" width="3.85546875" style="6" customWidth="1"/>
    <col min="13530" max="13532" width="14.42578125" style="6" customWidth="1"/>
    <col min="13533" max="13533" width="4.140625" style="6" customWidth="1"/>
    <col min="13534" max="13534" width="15" style="6" customWidth="1"/>
    <col min="13535" max="13536" width="9.140625" style="6" customWidth="1"/>
    <col min="13537" max="13537" width="11.5703125" style="6" customWidth="1"/>
    <col min="13538" max="13538" width="18.140625" style="6" customWidth="1"/>
    <col min="13539" max="13539" width="13.140625" style="6" customWidth="1"/>
    <col min="13540" max="13540" width="12.28515625" style="6" customWidth="1"/>
    <col min="13541" max="13778" width="9.140625" style="6"/>
    <col min="13779" max="13779" width="1.42578125" style="6" customWidth="1"/>
    <col min="13780" max="13780" width="59.5703125" style="6" customWidth="1"/>
    <col min="13781" max="13781" width="9.140625" style="6" customWidth="1"/>
    <col min="13782" max="13783" width="3.85546875" style="6" customWidth="1"/>
    <col min="13784" max="13784" width="10.5703125" style="6" customWidth="1"/>
    <col min="13785" max="13785" width="3.85546875" style="6" customWidth="1"/>
    <col min="13786" max="13788" width="14.42578125" style="6" customWidth="1"/>
    <col min="13789" max="13789" width="4.140625" style="6" customWidth="1"/>
    <col min="13790" max="13790" width="15" style="6" customWidth="1"/>
    <col min="13791" max="13792" width="9.140625" style="6" customWidth="1"/>
    <col min="13793" max="13793" width="11.5703125" style="6" customWidth="1"/>
    <col min="13794" max="13794" width="18.140625" style="6" customWidth="1"/>
    <col min="13795" max="13795" width="13.140625" style="6" customWidth="1"/>
    <col min="13796" max="13796" width="12.28515625" style="6" customWidth="1"/>
    <col min="13797" max="14034" width="9.140625" style="6"/>
    <col min="14035" max="14035" width="1.42578125" style="6" customWidth="1"/>
    <col min="14036" max="14036" width="59.5703125" style="6" customWidth="1"/>
    <col min="14037" max="14037" width="9.140625" style="6" customWidth="1"/>
    <col min="14038" max="14039" width="3.85546875" style="6" customWidth="1"/>
    <col min="14040" max="14040" width="10.5703125" style="6" customWidth="1"/>
    <col min="14041" max="14041" width="3.85546875" style="6" customWidth="1"/>
    <col min="14042" max="14044" width="14.42578125" style="6" customWidth="1"/>
    <col min="14045" max="14045" width="4.140625" style="6" customWidth="1"/>
    <col min="14046" max="14046" width="15" style="6" customWidth="1"/>
    <col min="14047" max="14048" width="9.140625" style="6" customWidth="1"/>
    <col min="14049" max="14049" width="11.5703125" style="6" customWidth="1"/>
    <col min="14050" max="14050" width="18.140625" style="6" customWidth="1"/>
    <col min="14051" max="14051" width="13.140625" style="6" customWidth="1"/>
    <col min="14052" max="14052" width="12.28515625" style="6" customWidth="1"/>
    <col min="14053" max="14290" width="9.140625" style="6"/>
    <col min="14291" max="14291" width="1.42578125" style="6" customWidth="1"/>
    <col min="14292" max="14292" width="59.5703125" style="6" customWidth="1"/>
    <col min="14293" max="14293" width="9.140625" style="6" customWidth="1"/>
    <col min="14294" max="14295" width="3.85546875" style="6" customWidth="1"/>
    <col min="14296" max="14296" width="10.5703125" style="6" customWidth="1"/>
    <col min="14297" max="14297" width="3.85546875" style="6" customWidth="1"/>
    <col min="14298" max="14300" width="14.42578125" style="6" customWidth="1"/>
    <col min="14301" max="14301" width="4.140625" style="6" customWidth="1"/>
    <col min="14302" max="14302" width="15" style="6" customWidth="1"/>
    <col min="14303" max="14304" width="9.140625" style="6" customWidth="1"/>
    <col min="14305" max="14305" width="11.5703125" style="6" customWidth="1"/>
    <col min="14306" max="14306" width="18.140625" style="6" customWidth="1"/>
    <col min="14307" max="14307" width="13.140625" style="6" customWidth="1"/>
    <col min="14308" max="14308" width="12.28515625" style="6" customWidth="1"/>
    <col min="14309" max="14546" width="9.140625" style="6"/>
    <col min="14547" max="14547" width="1.42578125" style="6" customWidth="1"/>
    <col min="14548" max="14548" width="59.5703125" style="6" customWidth="1"/>
    <col min="14549" max="14549" width="9.140625" style="6" customWidth="1"/>
    <col min="14550" max="14551" width="3.85546875" style="6" customWidth="1"/>
    <col min="14552" max="14552" width="10.5703125" style="6" customWidth="1"/>
    <col min="14553" max="14553" width="3.85546875" style="6" customWidth="1"/>
    <col min="14554" max="14556" width="14.42578125" style="6" customWidth="1"/>
    <col min="14557" max="14557" width="4.140625" style="6" customWidth="1"/>
    <col min="14558" max="14558" width="15" style="6" customWidth="1"/>
    <col min="14559" max="14560" width="9.140625" style="6" customWidth="1"/>
    <col min="14561" max="14561" width="11.5703125" style="6" customWidth="1"/>
    <col min="14562" max="14562" width="18.140625" style="6" customWidth="1"/>
    <col min="14563" max="14563" width="13.140625" style="6" customWidth="1"/>
    <col min="14564" max="14564" width="12.28515625" style="6" customWidth="1"/>
    <col min="14565" max="14802" width="9.140625" style="6"/>
    <col min="14803" max="14803" width="1.42578125" style="6" customWidth="1"/>
    <col min="14804" max="14804" width="59.5703125" style="6" customWidth="1"/>
    <col min="14805" max="14805" width="9.140625" style="6" customWidth="1"/>
    <col min="14806" max="14807" width="3.85546875" style="6" customWidth="1"/>
    <col min="14808" max="14808" width="10.5703125" style="6" customWidth="1"/>
    <col min="14809" max="14809" width="3.85546875" style="6" customWidth="1"/>
    <col min="14810" max="14812" width="14.42578125" style="6" customWidth="1"/>
    <col min="14813" max="14813" width="4.140625" style="6" customWidth="1"/>
    <col min="14814" max="14814" width="15" style="6" customWidth="1"/>
    <col min="14815" max="14816" width="9.140625" style="6" customWidth="1"/>
    <col min="14817" max="14817" width="11.5703125" style="6" customWidth="1"/>
    <col min="14818" max="14818" width="18.140625" style="6" customWidth="1"/>
    <col min="14819" max="14819" width="13.140625" style="6" customWidth="1"/>
    <col min="14820" max="14820" width="12.28515625" style="6" customWidth="1"/>
    <col min="14821" max="15058" width="9.140625" style="6"/>
    <col min="15059" max="15059" width="1.42578125" style="6" customWidth="1"/>
    <col min="15060" max="15060" width="59.5703125" style="6" customWidth="1"/>
    <col min="15061" max="15061" width="9.140625" style="6" customWidth="1"/>
    <col min="15062" max="15063" width="3.85546875" style="6" customWidth="1"/>
    <col min="15064" max="15064" width="10.5703125" style="6" customWidth="1"/>
    <col min="15065" max="15065" width="3.85546875" style="6" customWidth="1"/>
    <col min="15066" max="15068" width="14.42578125" style="6" customWidth="1"/>
    <col min="15069" max="15069" width="4.140625" style="6" customWidth="1"/>
    <col min="15070" max="15070" width="15" style="6" customWidth="1"/>
    <col min="15071" max="15072" width="9.140625" style="6" customWidth="1"/>
    <col min="15073" max="15073" width="11.5703125" style="6" customWidth="1"/>
    <col min="15074" max="15074" width="18.140625" style="6" customWidth="1"/>
    <col min="15075" max="15075" width="13.140625" style="6" customWidth="1"/>
    <col min="15076" max="15076" width="12.28515625" style="6" customWidth="1"/>
    <col min="15077" max="15314" width="9.140625" style="6"/>
    <col min="15315" max="15315" width="1.42578125" style="6" customWidth="1"/>
    <col min="15316" max="15316" width="59.5703125" style="6" customWidth="1"/>
    <col min="15317" max="15317" width="9.140625" style="6" customWidth="1"/>
    <col min="15318" max="15319" width="3.85546875" style="6" customWidth="1"/>
    <col min="15320" max="15320" width="10.5703125" style="6" customWidth="1"/>
    <col min="15321" max="15321" width="3.85546875" style="6" customWidth="1"/>
    <col min="15322" max="15324" width="14.42578125" style="6" customWidth="1"/>
    <col min="15325" max="15325" width="4.140625" style="6" customWidth="1"/>
    <col min="15326" max="15326" width="15" style="6" customWidth="1"/>
    <col min="15327" max="15328" width="9.140625" style="6" customWidth="1"/>
    <col min="15329" max="15329" width="11.5703125" style="6" customWidth="1"/>
    <col min="15330" max="15330" width="18.140625" style="6" customWidth="1"/>
    <col min="15331" max="15331" width="13.140625" style="6" customWidth="1"/>
    <col min="15332" max="15332" width="12.28515625" style="6" customWidth="1"/>
    <col min="15333" max="15570" width="9.140625" style="6"/>
    <col min="15571" max="15571" width="1.42578125" style="6" customWidth="1"/>
    <col min="15572" max="15572" width="59.5703125" style="6" customWidth="1"/>
    <col min="15573" max="15573" width="9.140625" style="6" customWidth="1"/>
    <col min="15574" max="15575" width="3.85546875" style="6" customWidth="1"/>
    <col min="15576" max="15576" width="10.5703125" style="6" customWidth="1"/>
    <col min="15577" max="15577" width="3.85546875" style="6" customWidth="1"/>
    <col min="15578" max="15580" width="14.42578125" style="6" customWidth="1"/>
    <col min="15581" max="15581" width="4.140625" style="6" customWidth="1"/>
    <col min="15582" max="15582" width="15" style="6" customWidth="1"/>
    <col min="15583" max="15584" width="9.140625" style="6" customWidth="1"/>
    <col min="15585" max="15585" width="11.5703125" style="6" customWidth="1"/>
    <col min="15586" max="15586" width="18.140625" style="6" customWidth="1"/>
    <col min="15587" max="15587" width="13.140625" style="6" customWidth="1"/>
    <col min="15588" max="15588" width="12.28515625" style="6" customWidth="1"/>
    <col min="15589" max="15826" width="9.140625" style="6"/>
    <col min="15827" max="15827" width="1.42578125" style="6" customWidth="1"/>
    <col min="15828" max="15828" width="59.5703125" style="6" customWidth="1"/>
    <col min="15829" max="15829" width="9.140625" style="6" customWidth="1"/>
    <col min="15830" max="15831" width="3.85546875" style="6" customWidth="1"/>
    <col min="15832" max="15832" width="10.5703125" style="6" customWidth="1"/>
    <col min="15833" max="15833" width="3.85546875" style="6" customWidth="1"/>
    <col min="15834" max="15836" width="14.42578125" style="6" customWidth="1"/>
    <col min="15837" max="15837" width="4.140625" style="6" customWidth="1"/>
    <col min="15838" max="15838" width="15" style="6" customWidth="1"/>
    <col min="15839" max="15840" width="9.140625" style="6" customWidth="1"/>
    <col min="15841" max="15841" width="11.5703125" style="6" customWidth="1"/>
    <col min="15842" max="15842" width="18.140625" style="6" customWidth="1"/>
    <col min="15843" max="15843" width="13.140625" style="6" customWidth="1"/>
    <col min="15844" max="15844" width="12.28515625" style="6" customWidth="1"/>
    <col min="15845" max="16082" width="9.140625" style="6"/>
    <col min="16083" max="16083" width="1.42578125" style="6" customWidth="1"/>
    <col min="16084" max="16084" width="59.5703125" style="6" customWidth="1"/>
    <col min="16085" max="16085" width="9.140625" style="6" customWidth="1"/>
    <col min="16086" max="16087" width="3.85546875" style="6" customWidth="1"/>
    <col min="16088" max="16088" width="10.5703125" style="6" customWidth="1"/>
    <col min="16089" max="16089" width="3.85546875" style="6" customWidth="1"/>
    <col min="16090" max="16092" width="14.42578125" style="6" customWidth="1"/>
    <col min="16093" max="16093" width="4.140625" style="6" customWidth="1"/>
    <col min="16094" max="16094" width="15" style="6" customWidth="1"/>
    <col min="16095" max="16096" width="9.140625" style="6" customWidth="1"/>
    <col min="16097" max="16097" width="11.5703125" style="6" customWidth="1"/>
    <col min="16098" max="16098" width="18.140625" style="6" customWidth="1"/>
    <col min="16099" max="16099" width="13.140625" style="6" customWidth="1"/>
    <col min="16100" max="16100" width="12.28515625" style="6" customWidth="1"/>
    <col min="16101" max="16384" width="9.140625" style="6"/>
  </cols>
  <sheetData>
    <row r="1" spans="1:17" s="290" customFormat="1" ht="15" customHeight="1" x14ac:dyDescent="0.25">
      <c r="A1" s="285"/>
      <c r="B1" s="285"/>
      <c r="E1" s="291"/>
      <c r="G1" s="293"/>
      <c r="H1" s="293"/>
      <c r="I1" s="594" t="s">
        <v>714</v>
      </c>
      <c r="J1" s="594"/>
      <c r="K1" s="594"/>
      <c r="L1" s="594"/>
      <c r="M1" s="594"/>
      <c r="N1" s="594"/>
      <c r="O1" s="293"/>
      <c r="P1" s="293"/>
      <c r="Q1" s="293"/>
    </row>
    <row r="2" spans="1:17" s="290" customFormat="1" ht="71.25" customHeight="1" x14ac:dyDescent="0.25">
      <c r="A2" s="285"/>
      <c r="B2" s="285"/>
      <c r="E2" s="291"/>
      <c r="G2" s="225"/>
      <c r="H2" s="225"/>
      <c r="I2" s="598" t="s">
        <v>593</v>
      </c>
      <c r="J2" s="598"/>
      <c r="K2" s="598"/>
      <c r="L2" s="598"/>
      <c r="M2" s="598"/>
      <c r="N2" s="598"/>
      <c r="O2" s="598"/>
      <c r="P2" s="598"/>
      <c r="Q2" s="225"/>
    </row>
    <row r="3" spans="1:17" s="118" customFormat="1" ht="29.25" customHeight="1" x14ac:dyDescent="0.25">
      <c r="A3" s="597" t="s">
        <v>708</v>
      </c>
      <c r="B3" s="597"/>
      <c r="C3" s="597"/>
      <c r="D3" s="597"/>
      <c r="E3" s="597"/>
      <c r="F3" s="597"/>
      <c r="G3" s="597"/>
      <c r="H3" s="597"/>
      <c r="I3" s="597"/>
      <c r="J3" s="597"/>
      <c r="K3" s="597"/>
      <c r="L3" s="597"/>
      <c r="M3" s="597"/>
      <c r="N3" s="597"/>
      <c r="O3" s="597"/>
      <c r="P3" s="597"/>
      <c r="Q3" s="322"/>
    </row>
    <row r="4" spans="1:17" s="87" customFormat="1" x14ac:dyDescent="0.25">
      <c r="A4" s="223"/>
      <c r="B4" s="223"/>
      <c r="C4" s="223"/>
      <c r="D4" s="223"/>
      <c r="E4" s="224"/>
      <c r="F4" s="224"/>
      <c r="G4" s="224"/>
      <c r="H4" s="223"/>
      <c r="I4" s="223"/>
      <c r="J4" s="98"/>
      <c r="K4" s="86"/>
      <c r="L4" s="86"/>
      <c r="M4" s="86"/>
      <c r="N4" s="86"/>
      <c r="O4" s="86"/>
      <c r="P4" s="86"/>
      <c r="Q4" s="86"/>
    </row>
    <row r="5" spans="1:17" s="119" customFormat="1" ht="24" customHeight="1" x14ac:dyDescent="0.25">
      <c r="A5" s="585" t="s">
        <v>11</v>
      </c>
      <c r="B5" s="585"/>
      <c r="C5" s="371"/>
      <c r="D5" s="371"/>
      <c r="E5" s="371"/>
      <c r="F5" s="114" t="s">
        <v>12</v>
      </c>
      <c r="G5" s="114" t="s">
        <v>13</v>
      </c>
      <c r="H5" s="114" t="s">
        <v>14</v>
      </c>
      <c r="I5" s="114" t="s">
        <v>15</v>
      </c>
      <c r="J5" s="371" t="s">
        <v>547</v>
      </c>
      <c r="K5" s="289">
        <v>2016</v>
      </c>
      <c r="L5" s="289" t="s">
        <v>826</v>
      </c>
      <c r="M5" s="289" t="s">
        <v>841</v>
      </c>
      <c r="N5" s="289">
        <v>2017</v>
      </c>
      <c r="O5" s="289" t="s">
        <v>826</v>
      </c>
      <c r="P5" s="289" t="s">
        <v>853</v>
      </c>
    </row>
    <row r="6" spans="1:17" ht="15" customHeight="1" x14ac:dyDescent="0.25">
      <c r="A6" s="586" t="s">
        <v>16</v>
      </c>
      <c r="B6" s="587"/>
      <c r="C6" s="370"/>
      <c r="D6" s="370"/>
      <c r="E6" s="370">
        <v>851</v>
      </c>
      <c r="F6" s="1"/>
      <c r="G6" s="1"/>
      <c r="H6" s="1"/>
      <c r="I6" s="1"/>
      <c r="J6" s="121">
        <f>J7+J55+J62+J69+J90+J99+J106+J133+J152</f>
        <v>64255337</v>
      </c>
      <c r="K6" s="121">
        <f>K7+K55+K62+K69+K90+K99+K106+K133+K152</f>
        <v>47116560</v>
      </c>
      <c r="L6" s="121">
        <f t="shared" ref="L6:P6" si="0">L7+L55+L62+L69+L90+L99+L106+L133+L152</f>
        <v>-4321000</v>
      </c>
      <c r="M6" s="121">
        <f t="shared" si="0"/>
        <v>42795560</v>
      </c>
      <c r="N6" s="121">
        <f t="shared" si="0"/>
        <v>45977580</v>
      </c>
      <c r="O6" s="121">
        <f t="shared" si="0"/>
        <v>-4269500</v>
      </c>
      <c r="P6" s="121">
        <f t="shared" si="0"/>
        <v>41708080</v>
      </c>
    </row>
    <row r="7" spans="1:17" s="11" customFormat="1" x14ac:dyDescent="0.25">
      <c r="A7" s="588" t="s">
        <v>17</v>
      </c>
      <c r="B7" s="588"/>
      <c r="C7" s="364"/>
      <c r="D7" s="364"/>
      <c r="E7" s="289">
        <v>851</v>
      </c>
      <c r="F7" s="7" t="s">
        <v>18</v>
      </c>
      <c r="G7" s="7"/>
      <c r="H7" s="7"/>
      <c r="I7" s="7"/>
      <c r="J7" s="9">
        <f>J8+J24+J28+J32</f>
        <v>23774080</v>
      </c>
      <c r="K7" s="9">
        <f>K8+K24+K28+K32</f>
        <v>23499278</v>
      </c>
      <c r="L7" s="9">
        <f t="shared" ref="L7:P7" si="1">L8+L24+L28+L32</f>
        <v>-1321000</v>
      </c>
      <c r="M7" s="9">
        <f t="shared" si="1"/>
        <v>22178278</v>
      </c>
      <c r="N7" s="9">
        <f t="shared" si="1"/>
        <v>23904498</v>
      </c>
      <c r="O7" s="9">
        <f t="shared" si="1"/>
        <v>-2155500</v>
      </c>
      <c r="P7" s="9">
        <f t="shared" si="1"/>
        <v>21748998</v>
      </c>
    </row>
    <row r="8" spans="1:17" s="15" customFormat="1" ht="36" customHeight="1" x14ac:dyDescent="0.25">
      <c r="A8" s="589" t="s">
        <v>19</v>
      </c>
      <c r="B8" s="589"/>
      <c r="C8" s="365"/>
      <c r="D8" s="365"/>
      <c r="E8" s="289">
        <v>851</v>
      </c>
      <c r="F8" s="12" t="s">
        <v>18</v>
      </c>
      <c r="G8" s="12" t="s">
        <v>7</v>
      </c>
      <c r="H8" s="12"/>
      <c r="I8" s="12"/>
      <c r="J8" s="14">
        <f>J9+J12+J21</f>
        <v>17336380</v>
      </c>
      <c r="K8" s="14">
        <f>K9+K12+K21</f>
        <v>17333578</v>
      </c>
      <c r="L8" s="14">
        <f t="shared" ref="L8:P8" si="2">L9+L12+L21</f>
        <v>0</v>
      </c>
      <c r="M8" s="14">
        <f t="shared" si="2"/>
        <v>17333578</v>
      </c>
      <c r="N8" s="14">
        <f t="shared" si="2"/>
        <v>17333578</v>
      </c>
      <c r="O8" s="14">
        <f t="shared" si="2"/>
        <v>0</v>
      </c>
      <c r="P8" s="14">
        <f t="shared" si="2"/>
        <v>17333578</v>
      </c>
    </row>
    <row r="9" spans="1:17" ht="27" customHeight="1" x14ac:dyDescent="0.25">
      <c r="A9" s="583" t="s">
        <v>20</v>
      </c>
      <c r="B9" s="583"/>
      <c r="C9" s="356"/>
      <c r="D9" s="356"/>
      <c r="E9" s="289">
        <v>851</v>
      </c>
      <c r="F9" s="1" t="s">
        <v>18</v>
      </c>
      <c r="G9" s="1" t="s">
        <v>7</v>
      </c>
      <c r="H9" s="1" t="s">
        <v>21</v>
      </c>
      <c r="I9" s="1"/>
      <c r="J9" s="2">
        <f t="shared" ref="J9:P10" si="3">J10</f>
        <v>946200</v>
      </c>
      <c r="K9" s="2">
        <f t="shared" si="3"/>
        <v>946200</v>
      </c>
      <c r="L9" s="2">
        <f t="shared" si="3"/>
        <v>0</v>
      </c>
      <c r="M9" s="2">
        <f t="shared" si="3"/>
        <v>946200</v>
      </c>
      <c r="N9" s="2">
        <f t="shared" si="3"/>
        <v>946200</v>
      </c>
      <c r="O9" s="2">
        <f t="shared" si="3"/>
        <v>0</v>
      </c>
      <c r="P9" s="2">
        <f t="shared" si="3"/>
        <v>946200</v>
      </c>
    </row>
    <row r="10" spans="1:17" ht="36" customHeight="1" x14ac:dyDescent="0.25">
      <c r="A10" s="356"/>
      <c r="B10" s="355" t="s">
        <v>22</v>
      </c>
      <c r="C10" s="356"/>
      <c r="D10" s="356"/>
      <c r="E10" s="289">
        <v>851</v>
      </c>
      <c r="F10" s="1" t="s">
        <v>23</v>
      </c>
      <c r="G10" s="1" t="s">
        <v>7</v>
      </c>
      <c r="H10" s="1" t="s">
        <v>21</v>
      </c>
      <c r="I10" s="1" t="s">
        <v>24</v>
      </c>
      <c r="J10" s="2">
        <f t="shared" si="3"/>
        <v>946200</v>
      </c>
      <c r="K10" s="2">
        <f t="shared" si="3"/>
        <v>946200</v>
      </c>
      <c r="L10" s="2">
        <f t="shared" si="3"/>
        <v>0</v>
      </c>
      <c r="M10" s="2">
        <f t="shared" si="3"/>
        <v>946200</v>
      </c>
      <c r="N10" s="2">
        <f t="shared" si="3"/>
        <v>946200</v>
      </c>
      <c r="O10" s="2">
        <f t="shared" si="3"/>
        <v>0</v>
      </c>
      <c r="P10" s="2">
        <f t="shared" si="3"/>
        <v>946200</v>
      </c>
    </row>
    <row r="11" spans="1:17" ht="15" customHeight="1" x14ac:dyDescent="0.25">
      <c r="A11" s="17"/>
      <c r="B11" s="355" t="s">
        <v>25</v>
      </c>
      <c r="C11" s="355"/>
      <c r="D11" s="355"/>
      <c r="E11" s="289">
        <v>851</v>
      </c>
      <c r="F11" s="1" t="s">
        <v>18</v>
      </c>
      <c r="G11" s="1" t="s">
        <v>7</v>
      </c>
      <c r="H11" s="1" t="s">
        <v>21</v>
      </c>
      <c r="I11" s="1" t="s">
        <v>26</v>
      </c>
      <c r="J11" s="2">
        <v>946200</v>
      </c>
      <c r="K11" s="2">
        <v>946200</v>
      </c>
      <c r="L11" s="2"/>
      <c r="M11" s="2">
        <f>K11+L11</f>
        <v>946200</v>
      </c>
      <c r="N11" s="2">
        <v>946200</v>
      </c>
      <c r="O11" s="17"/>
      <c r="P11" s="2">
        <f>N11+O11</f>
        <v>946200</v>
      </c>
    </row>
    <row r="12" spans="1:17" ht="26.25" customHeight="1" x14ac:dyDescent="0.25">
      <c r="A12" s="583" t="s">
        <v>27</v>
      </c>
      <c r="B12" s="583"/>
      <c r="C12" s="289"/>
      <c r="D12" s="289"/>
      <c r="E12" s="289">
        <v>851</v>
      </c>
      <c r="F12" s="1" t="s">
        <v>23</v>
      </c>
      <c r="G12" s="1" t="s">
        <v>7</v>
      </c>
      <c r="H12" s="1" t="s">
        <v>560</v>
      </c>
      <c r="I12" s="1"/>
      <c r="J12" s="2">
        <f t="shared" ref="J12:N12" si="4">J13+J15+J17</f>
        <v>16387680</v>
      </c>
      <c r="K12" s="2">
        <f t="shared" si="4"/>
        <v>16387378</v>
      </c>
      <c r="L12" s="2"/>
      <c r="M12" s="2">
        <f t="shared" ref="M12:M75" si="5">K12+L12</f>
        <v>16387378</v>
      </c>
      <c r="N12" s="2">
        <f t="shared" si="4"/>
        <v>16387378</v>
      </c>
      <c r="O12" s="17"/>
      <c r="P12" s="2">
        <f t="shared" ref="P12:P75" si="6">N12+O12</f>
        <v>16387378</v>
      </c>
    </row>
    <row r="13" spans="1:17" ht="36" customHeight="1" x14ac:dyDescent="0.25">
      <c r="A13" s="17"/>
      <c r="B13" s="355" t="s">
        <v>22</v>
      </c>
      <c r="C13" s="289"/>
      <c r="D13" s="289"/>
      <c r="E13" s="289">
        <v>851</v>
      </c>
      <c r="F13" s="1" t="s">
        <v>18</v>
      </c>
      <c r="G13" s="1" t="s">
        <v>7</v>
      </c>
      <c r="H13" s="1" t="s">
        <v>560</v>
      </c>
      <c r="I13" s="1" t="s">
        <v>24</v>
      </c>
      <c r="J13" s="2">
        <f t="shared" ref="J13:N13" si="7">J14</f>
        <v>11544100</v>
      </c>
      <c r="K13" s="2">
        <f t="shared" si="7"/>
        <v>11544100</v>
      </c>
      <c r="L13" s="2"/>
      <c r="M13" s="2">
        <f t="shared" si="5"/>
        <v>11544100</v>
      </c>
      <c r="N13" s="2">
        <f t="shared" si="7"/>
        <v>11544100</v>
      </c>
      <c r="O13" s="17"/>
      <c r="P13" s="2">
        <f t="shared" si="6"/>
        <v>11544100</v>
      </c>
    </row>
    <row r="14" spans="1:17" ht="14.25" customHeight="1" x14ac:dyDescent="0.25">
      <c r="A14" s="17"/>
      <c r="B14" s="355" t="s">
        <v>25</v>
      </c>
      <c r="C14" s="289"/>
      <c r="D14" s="289"/>
      <c r="E14" s="289">
        <v>851</v>
      </c>
      <c r="F14" s="1" t="s">
        <v>18</v>
      </c>
      <c r="G14" s="1" t="s">
        <v>7</v>
      </c>
      <c r="H14" s="1" t="s">
        <v>560</v>
      </c>
      <c r="I14" s="1" t="s">
        <v>26</v>
      </c>
      <c r="J14" s="2">
        <f>11904900-187900-172900</f>
        <v>11544100</v>
      </c>
      <c r="K14" s="2">
        <v>11544100</v>
      </c>
      <c r="L14" s="2"/>
      <c r="M14" s="2">
        <f t="shared" si="5"/>
        <v>11544100</v>
      </c>
      <c r="N14" s="2">
        <v>11544100</v>
      </c>
      <c r="O14" s="17"/>
      <c r="P14" s="2">
        <f t="shared" si="6"/>
        <v>11544100</v>
      </c>
    </row>
    <row r="15" spans="1:17" ht="14.25" customHeight="1" x14ac:dyDescent="0.25">
      <c r="A15" s="17"/>
      <c r="B15" s="356" t="s">
        <v>28</v>
      </c>
      <c r="C15" s="289"/>
      <c r="D15" s="289"/>
      <c r="E15" s="289">
        <v>851</v>
      </c>
      <c r="F15" s="1" t="s">
        <v>18</v>
      </c>
      <c r="G15" s="1" t="s">
        <v>7</v>
      </c>
      <c r="H15" s="1" t="s">
        <v>560</v>
      </c>
      <c r="I15" s="1" t="s">
        <v>29</v>
      </c>
      <c r="J15" s="2">
        <f t="shared" ref="J15:N15" si="8">J16</f>
        <v>3777580</v>
      </c>
      <c r="K15" s="2">
        <f t="shared" si="8"/>
        <v>3777280</v>
      </c>
      <c r="L15" s="2"/>
      <c r="M15" s="2">
        <f t="shared" si="5"/>
        <v>3777280</v>
      </c>
      <c r="N15" s="2">
        <f t="shared" si="8"/>
        <v>3777280</v>
      </c>
      <c r="O15" s="17"/>
      <c r="P15" s="2">
        <f t="shared" si="6"/>
        <v>3777280</v>
      </c>
    </row>
    <row r="16" spans="1:17" ht="24.75" customHeight="1" x14ac:dyDescent="0.25">
      <c r="A16" s="17"/>
      <c r="B16" s="356" t="s">
        <v>30</v>
      </c>
      <c r="C16" s="289"/>
      <c r="D16" s="289"/>
      <c r="E16" s="289">
        <v>851</v>
      </c>
      <c r="F16" s="1" t="s">
        <v>18</v>
      </c>
      <c r="G16" s="1" t="s">
        <v>7</v>
      </c>
      <c r="H16" s="1" t="s">
        <v>560</v>
      </c>
      <c r="I16" s="1" t="s">
        <v>31</v>
      </c>
      <c r="J16" s="2">
        <f>3816480-151600+112700</f>
        <v>3777580</v>
      </c>
      <c r="K16" s="2">
        <v>3777280</v>
      </c>
      <c r="L16" s="2"/>
      <c r="M16" s="2">
        <f t="shared" si="5"/>
        <v>3777280</v>
      </c>
      <c r="N16" s="2">
        <v>3777280</v>
      </c>
      <c r="O16" s="17"/>
      <c r="P16" s="2">
        <f t="shared" si="6"/>
        <v>3777280</v>
      </c>
    </row>
    <row r="17" spans="1:16" x14ac:dyDescent="0.25">
      <c r="A17" s="17"/>
      <c r="B17" s="356" t="s">
        <v>32</v>
      </c>
      <c r="C17" s="289"/>
      <c r="D17" s="289"/>
      <c r="E17" s="289">
        <v>851</v>
      </c>
      <c r="F17" s="1" t="s">
        <v>18</v>
      </c>
      <c r="G17" s="1" t="s">
        <v>7</v>
      </c>
      <c r="H17" s="1" t="s">
        <v>560</v>
      </c>
      <c r="I17" s="1" t="s">
        <v>33</v>
      </c>
      <c r="J17" s="2">
        <f>J18+J19+J20</f>
        <v>1066000</v>
      </c>
      <c r="K17" s="2">
        <f>K18+K19+K20</f>
        <v>1065998</v>
      </c>
      <c r="L17" s="2"/>
      <c r="M17" s="2">
        <f t="shared" si="5"/>
        <v>1065998</v>
      </c>
      <c r="N17" s="2">
        <f>N18+N19+N20</f>
        <v>1065998</v>
      </c>
      <c r="O17" s="17"/>
      <c r="P17" s="2">
        <f t="shared" si="6"/>
        <v>1065998</v>
      </c>
    </row>
    <row r="18" spans="1:16" ht="14.25" customHeight="1" x14ac:dyDescent="0.25">
      <c r="A18" s="17"/>
      <c r="B18" s="356" t="s">
        <v>34</v>
      </c>
      <c r="C18" s="289"/>
      <c r="D18" s="289"/>
      <c r="E18" s="289">
        <v>851</v>
      </c>
      <c r="F18" s="1" t="s">
        <v>18</v>
      </c>
      <c r="G18" s="1" t="s">
        <v>7</v>
      </c>
      <c r="H18" s="1" t="s">
        <v>560</v>
      </c>
      <c r="I18" s="1" t="s">
        <v>35</v>
      </c>
      <c r="J18" s="2">
        <v>945200</v>
      </c>
      <c r="K18" s="2">
        <f>945200-2</f>
        <v>945198</v>
      </c>
      <c r="L18" s="2"/>
      <c r="M18" s="2">
        <f t="shared" si="5"/>
        <v>945198</v>
      </c>
      <c r="N18" s="2">
        <f>945200-2</f>
        <v>945198</v>
      </c>
      <c r="O18" s="17"/>
      <c r="P18" s="2">
        <f t="shared" si="6"/>
        <v>945198</v>
      </c>
    </row>
    <row r="19" spans="1:16" ht="14.25" customHeight="1" x14ac:dyDescent="0.25">
      <c r="A19" s="17"/>
      <c r="B19" s="355" t="s">
        <v>596</v>
      </c>
      <c r="C19" s="289"/>
      <c r="D19" s="289"/>
      <c r="E19" s="289">
        <v>851</v>
      </c>
      <c r="F19" s="1" t="s">
        <v>23</v>
      </c>
      <c r="G19" s="1" t="s">
        <v>7</v>
      </c>
      <c r="H19" s="1" t="s">
        <v>560</v>
      </c>
      <c r="I19" s="1" t="s">
        <v>36</v>
      </c>
      <c r="J19" s="2">
        <f>71120-320</f>
        <v>70800</v>
      </c>
      <c r="K19" s="2">
        <v>70800</v>
      </c>
      <c r="L19" s="2"/>
      <c r="M19" s="2">
        <f t="shared" si="5"/>
        <v>70800</v>
      </c>
      <c r="N19" s="2">
        <v>70800</v>
      </c>
      <c r="O19" s="17"/>
      <c r="P19" s="2">
        <f t="shared" si="6"/>
        <v>70800</v>
      </c>
    </row>
    <row r="20" spans="1:16" ht="14.25" customHeight="1" x14ac:dyDescent="0.25">
      <c r="A20" s="17"/>
      <c r="B20" s="356" t="s">
        <v>595</v>
      </c>
      <c r="C20" s="289"/>
      <c r="D20" s="289"/>
      <c r="E20" s="289">
        <v>851</v>
      </c>
      <c r="F20" s="1" t="s">
        <v>23</v>
      </c>
      <c r="G20" s="1" t="s">
        <v>7</v>
      </c>
      <c r="H20" s="1" t="s">
        <v>560</v>
      </c>
      <c r="I20" s="1" t="s">
        <v>594</v>
      </c>
      <c r="J20" s="2">
        <v>50000</v>
      </c>
      <c r="K20" s="2">
        <v>50000</v>
      </c>
      <c r="L20" s="2"/>
      <c r="M20" s="2">
        <f t="shared" si="5"/>
        <v>50000</v>
      </c>
      <c r="N20" s="2">
        <v>50000</v>
      </c>
      <c r="O20" s="17"/>
      <c r="P20" s="2">
        <f t="shared" si="6"/>
        <v>50000</v>
      </c>
    </row>
    <row r="21" spans="1:16" ht="38.25" hidden="1" customHeight="1" x14ac:dyDescent="0.25">
      <c r="A21" s="583" t="s">
        <v>612</v>
      </c>
      <c r="B21" s="583"/>
      <c r="C21" s="356"/>
      <c r="D21" s="356"/>
      <c r="E21" s="289">
        <v>851</v>
      </c>
      <c r="F21" s="1" t="s">
        <v>18</v>
      </c>
      <c r="G21" s="1" t="s">
        <v>7</v>
      </c>
      <c r="H21" s="1" t="s">
        <v>615</v>
      </c>
      <c r="I21" s="1"/>
      <c r="J21" s="2">
        <f t="shared" ref="J21:N22" si="9">J22</f>
        <v>2500</v>
      </c>
      <c r="K21" s="2">
        <f t="shared" si="9"/>
        <v>0</v>
      </c>
      <c r="L21" s="2"/>
      <c r="M21" s="2">
        <f t="shared" si="5"/>
        <v>0</v>
      </c>
      <c r="N21" s="2">
        <f t="shared" si="9"/>
        <v>0</v>
      </c>
      <c r="O21" s="17"/>
      <c r="P21" s="2">
        <f t="shared" si="6"/>
        <v>0</v>
      </c>
    </row>
    <row r="22" spans="1:16" ht="15.75" hidden="1" customHeight="1" x14ac:dyDescent="0.25">
      <c r="A22" s="17"/>
      <c r="B22" s="356" t="s">
        <v>28</v>
      </c>
      <c r="C22" s="355"/>
      <c r="D22" s="355"/>
      <c r="E22" s="289">
        <v>851</v>
      </c>
      <c r="F22" s="1" t="s">
        <v>18</v>
      </c>
      <c r="G22" s="1" t="s">
        <v>7</v>
      </c>
      <c r="H22" s="1" t="s">
        <v>615</v>
      </c>
      <c r="I22" s="1" t="s">
        <v>29</v>
      </c>
      <c r="J22" s="2">
        <f t="shared" si="9"/>
        <v>2500</v>
      </c>
      <c r="K22" s="2">
        <f t="shared" si="9"/>
        <v>0</v>
      </c>
      <c r="L22" s="2"/>
      <c r="M22" s="2">
        <f t="shared" si="5"/>
        <v>0</v>
      </c>
      <c r="N22" s="2">
        <f t="shared" si="9"/>
        <v>0</v>
      </c>
      <c r="O22" s="17"/>
      <c r="P22" s="2">
        <f t="shared" si="6"/>
        <v>0</v>
      </c>
    </row>
    <row r="23" spans="1:16" ht="23.25" hidden="1" customHeight="1" x14ac:dyDescent="0.25">
      <c r="A23" s="17"/>
      <c r="B23" s="356" t="s">
        <v>30</v>
      </c>
      <c r="C23" s="356"/>
      <c r="D23" s="356"/>
      <c r="E23" s="289">
        <v>851</v>
      </c>
      <c r="F23" s="1" t="s">
        <v>18</v>
      </c>
      <c r="G23" s="1" t="s">
        <v>7</v>
      </c>
      <c r="H23" s="1" t="s">
        <v>615</v>
      </c>
      <c r="I23" s="1" t="s">
        <v>31</v>
      </c>
      <c r="J23" s="2">
        <f>2500</f>
        <v>2500</v>
      </c>
      <c r="K23" s="2"/>
      <c r="L23" s="2"/>
      <c r="M23" s="2">
        <f t="shared" si="5"/>
        <v>0</v>
      </c>
      <c r="N23" s="2"/>
      <c r="O23" s="17"/>
      <c r="P23" s="2">
        <f t="shared" si="6"/>
        <v>0</v>
      </c>
    </row>
    <row r="24" spans="1:16" x14ac:dyDescent="0.25">
      <c r="A24" s="589" t="s">
        <v>654</v>
      </c>
      <c r="B24" s="589"/>
      <c r="C24" s="356"/>
      <c r="D24" s="356"/>
      <c r="E24" s="18">
        <v>851</v>
      </c>
      <c r="F24" s="12" t="s">
        <v>18</v>
      </c>
      <c r="G24" s="12" t="s">
        <v>64</v>
      </c>
      <c r="H24" s="12"/>
      <c r="I24" s="12"/>
      <c r="J24" s="14">
        <f>J25</f>
        <v>0</v>
      </c>
      <c r="K24" s="14">
        <f t="shared" ref="K24:P26" si="10">K25</f>
        <v>0</v>
      </c>
      <c r="L24" s="14">
        <f t="shared" si="10"/>
        <v>0</v>
      </c>
      <c r="M24" s="14">
        <f t="shared" si="10"/>
        <v>0</v>
      </c>
      <c r="N24" s="14">
        <f t="shared" si="10"/>
        <v>5220</v>
      </c>
      <c r="O24" s="14">
        <f t="shared" si="10"/>
        <v>0</v>
      </c>
      <c r="P24" s="14">
        <f t="shared" si="10"/>
        <v>5220</v>
      </c>
    </row>
    <row r="25" spans="1:16" ht="60" customHeight="1" x14ac:dyDescent="0.25">
      <c r="A25" s="583" t="s">
        <v>655</v>
      </c>
      <c r="B25" s="583"/>
      <c r="C25" s="356"/>
      <c r="D25" s="356"/>
      <c r="E25" s="289">
        <v>851</v>
      </c>
      <c r="F25" s="1" t="s">
        <v>18</v>
      </c>
      <c r="G25" s="1" t="s">
        <v>64</v>
      </c>
      <c r="H25" s="1" t="s">
        <v>656</v>
      </c>
      <c r="I25" s="1"/>
      <c r="J25" s="2">
        <f>J26</f>
        <v>0</v>
      </c>
      <c r="K25" s="2">
        <f t="shared" si="10"/>
        <v>0</v>
      </c>
      <c r="L25" s="2"/>
      <c r="M25" s="2">
        <f t="shared" si="5"/>
        <v>0</v>
      </c>
      <c r="N25" s="2">
        <f t="shared" si="10"/>
        <v>5220</v>
      </c>
      <c r="O25" s="17"/>
      <c r="P25" s="2">
        <f t="shared" si="6"/>
        <v>5220</v>
      </c>
    </row>
    <row r="26" spans="1:16" x14ac:dyDescent="0.25">
      <c r="A26" s="17"/>
      <c r="B26" s="356" t="s">
        <v>28</v>
      </c>
      <c r="C26" s="355"/>
      <c r="D26" s="355"/>
      <c r="E26" s="289">
        <v>851</v>
      </c>
      <c r="F26" s="1" t="s">
        <v>18</v>
      </c>
      <c r="G26" s="1" t="s">
        <v>64</v>
      </c>
      <c r="H26" s="1" t="s">
        <v>656</v>
      </c>
      <c r="I26" s="1" t="s">
        <v>29</v>
      </c>
      <c r="J26" s="2">
        <f>J27</f>
        <v>0</v>
      </c>
      <c r="K26" s="2">
        <f t="shared" si="10"/>
        <v>0</v>
      </c>
      <c r="L26" s="2"/>
      <c r="M26" s="2">
        <f t="shared" si="5"/>
        <v>0</v>
      </c>
      <c r="N26" s="2">
        <f t="shared" si="10"/>
        <v>5220</v>
      </c>
      <c r="O26" s="17"/>
      <c r="P26" s="2">
        <f t="shared" si="6"/>
        <v>5220</v>
      </c>
    </row>
    <row r="27" spans="1:16" ht="24" x14ac:dyDescent="0.25">
      <c r="A27" s="17"/>
      <c r="B27" s="356" t="s">
        <v>30</v>
      </c>
      <c r="C27" s="356"/>
      <c r="D27" s="356"/>
      <c r="E27" s="289">
        <v>851</v>
      </c>
      <c r="F27" s="1" t="s">
        <v>18</v>
      </c>
      <c r="G27" s="1" t="s">
        <v>64</v>
      </c>
      <c r="H27" s="1" t="s">
        <v>656</v>
      </c>
      <c r="I27" s="1" t="s">
        <v>31</v>
      </c>
      <c r="J27" s="2">
        <v>0</v>
      </c>
      <c r="K27" s="2">
        <v>0</v>
      </c>
      <c r="L27" s="2"/>
      <c r="M27" s="2">
        <f t="shared" si="5"/>
        <v>0</v>
      </c>
      <c r="N27" s="2">
        <v>5220</v>
      </c>
      <c r="O27" s="17"/>
      <c r="P27" s="2">
        <f t="shared" si="6"/>
        <v>5220</v>
      </c>
    </row>
    <row r="28" spans="1:16" s="15" customFormat="1" ht="13.5" customHeight="1" x14ac:dyDescent="0.25">
      <c r="A28" s="589" t="s">
        <v>38</v>
      </c>
      <c r="B28" s="589"/>
      <c r="C28" s="365"/>
      <c r="D28" s="365"/>
      <c r="E28" s="289">
        <v>851</v>
      </c>
      <c r="F28" s="12" t="s">
        <v>18</v>
      </c>
      <c r="G28" s="12" t="s">
        <v>39</v>
      </c>
      <c r="H28" s="12"/>
      <c r="I28" s="12"/>
      <c r="J28" s="14">
        <f>J29</f>
        <v>200000</v>
      </c>
      <c r="K28" s="14">
        <f>K29</f>
        <v>200000</v>
      </c>
      <c r="L28" s="14">
        <f t="shared" ref="L28:P28" si="11">L29</f>
        <v>0</v>
      </c>
      <c r="M28" s="14">
        <f t="shared" si="11"/>
        <v>200000</v>
      </c>
      <c r="N28" s="14">
        <f t="shared" si="11"/>
        <v>200000</v>
      </c>
      <c r="O28" s="14">
        <f t="shared" si="11"/>
        <v>0</v>
      </c>
      <c r="P28" s="14">
        <f t="shared" si="11"/>
        <v>200000</v>
      </c>
    </row>
    <row r="29" spans="1:16" ht="13.5" customHeight="1" x14ac:dyDescent="0.25">
      <c r="A29" s="583" t="s">
        <v>41</v>
      </c>
      <c r="B29" s="583"/>
      <c r="C29" s="356"/>
      <c r="D29" s="356"/>
      <c r="E29" s="289">
        <v>851</v>
      </c>
      <c r="F29" s="1" t="s">
        <v>18</v>
      </c>
      <c r="G29" s="1" t="s">
        <v>39</v>
      </c>
      <c r="H29" s="1" t="s">
        <v>40</v>
      </c>
      <c r="I29" s="1"/>
      <c r="J29" s="2">
        <f t="shared" ref="J29:N30" si="12">J30</f>
        <v>200000</v>
      </c>
      <c r="K29" s="2">
        <f t="shared" si="12"/>
        <v>200000</v>
      </c>
      <c r="L29" s="2"/>
      <c r="M29" s="2">
        <f t="shared" si="5"/>
        <v>200000</v>
      </c>
      <c r="N29" s="2">
        <f t="shared" si="12"/>
        <v>200000</v>
      </c>
      <c r="O29" s="17"/>
      <c r="P29" s="2">
        <f t="shared" si="6"/>
        <v>200000</v>
      </c>
    </row>
    <row r="30" spans="1:16" ht="13.5" customHeight="1" x14ac:dyDescent="0.25">
      <c r="A30" s="17"/>
      <c r="B30" s="356" t="s">
        <v>32</v>
      </c>
      <c r="C30" s="356"/>
      <c r="D30" s="356"/>
      <c r="E30" s="289">
        <v>851</v>
      </c>
      <c r="F30" s="1" t="s">
        <v>18</v>
      </c>
      <c r="G30" s="1" t="s">
        <v>39</v>
      </c>
      <c r="H30" s="1" t="s">
        <v>40</v>
      </c>
      <c r="I30" s="1" t="s">
        <v>33</v>
      </c>
      <c r="J30" s="2">
        <f t="shared" si="12"/>
        <v>200000</v>
      </c>
      <c r="K30" s="2">
        <f t="shared" si="12"/>
        <v>200000</v>
      </c>
      <c r="L30" s="2"/>
      <c r="M30" s="2">
        <f t="shared" si="5"/>
        <v>200000</v>
      </c>
      <c r="N30" s="2">
        <f t="shared" si="12"/>
        <v>200000</v>
      </c>
      <c r="O30" s="17"/>
      <c r="P30" s="2">
        <f t="shared" si="6"/>
        <v>200000</v>
      </c>
    </row>
    <row r="31" spans="1:16" ht="13.5" customHeight="1" x14ac:dyDescent="0.25">
      <c r="A31" s="17"/>
      <c r="B31" s="355" t="s">
        <v>42</v>
      </c>
      <c r="C31" s="355"/>
      <c r="D31" s="355"/>
      <c r="E31" s="289">
        <v>851</v>
      </c>
      <c r="F31" s="1" t="s">
        <v>18</v>
      </c>
      <c r="G31" s="1" t="s">
        <v>39</v>
      </c>
      <c r="H31" s="1" t="s">
        <v>40</v>
      </c>
      <c r="I31" s="1" t="s">
        <v>43</v>
      </c>
      <c r="J31" s="2">
        <v>200000</v>
      </c>
      <c r="K31" s="2">
        <v>200000</v>
      </c>
      <c r="L31" s="2"/>
      <c r="M31" s="2">
        <f t="shared" si="5"/>
        <v>200000</v>
      </c>
      <c r="N31" s="2">
        <v>200000</v>
      </c>
      <c r="O31" s="17"/>
      <c r="P31" s="2">
        <f t="shared" si="6"/>
        <v>200000</v>
      </c>
    </row>
    <row r="32" spans="1:16" s="15" customFormat="1" ht="13.5" customHeight="1" x14ac:dyDescent="0.25">
      <c r="A32" s="589" t="s">
        <v>44</v>
      </c>
      <c r="B32" s="589"/>
      <c r="C32" s="365"/>
      <c r="D32" s="365"/>
      <c r="E32" s="289">
        <v>851</v>
      </c>
      <c r="F32" s="12" t="s">
        <v>18</v>
      </c>
      <c r="G32" s="12" t="s">
        <v>45</v>
      </c>
      <c r="H32" s="12"/>
      <c r="I32" s="12"/>
      <c r="J32" s="14">
        <f>J33+J38+J41+J44+J49+J52</f>
        <v>6237700</v>
      </c>
      <c r="K32" s="14">
        <f>K33+K38+K41+K44+K49+K52</f>
        <v>5965700</v>
      </c>
      <c r="L32" s="14">
        <f t="shared" ref="L32:P32" si="13">L33+L38+L41+L44+L49+L52</f>
        <v>-1321000</v>
      </c>
      <c r="M32" s="14">
        <f t="shared" si="13"/>
        <v>4644700</v>
      </c>
      <c r="N32" s="14">
        <f t="shared" si="13"/>
        <v>6365700</v>
      </c>
      <c r="O32" s="14">
        <f t="shared" si="13"/>
        <v>-2155500</v>
      </c>
      <c r="P32" s="14">
        <f t="shared" si="13"/>
        <v>4210200</v>
      </c>
    </row>
    <row r="33" spans="1:16" ht="52.5" customHeight="1" x14ac:dyDescent="0.25">
      <c r="A33" s="583" t="s">
        <v>46</v>
      </c>
      <c r="B33" s="583"/>
      <c r="C33" s="289"/>
      <c r="D33" s="289"/>
      <c r="E33" s="289">
        <v>851</v>
      </c>
      <c r="F33" s="1" t="s">
        <v>18</v>
      </c>
      <c r="G33" s="1" t="s">
        <v>45</v>
      </c>
      <c r="H33" s="1" t="s">
        <v>47</v>
      </c>
      <c r="I33" s="1"/>
      <c r="J33" s="2">
        <f t="shared" ref="J33:N33" si="14">J34+J36</f>
        <v>340700</v>
      </c>
      <c r="K33" s="2">
        <f t="shared" si="14"/>
        <v>340700</v>
      </c>
      <c r="L33" s="2"/>
      <c r="M33" s="2">
        <f t="shared" si="5"/>
        <v>340700</v>
      </c>
      <c r="N33" s="2">
        <f t="shared" si="14"/>
        <v>340700</v>
      </c>
      <c r="O33" s="17"/>
      <c r="P33" s="2">
        <f t="shared" si="6"/>
        <v>340700</v>
      </c>
    </row>
    <row r="34" spans="1:16" ht="36.75" customHeight="1" x14ac:dyDescent="0.25">
      <c r="A34" s="17"/>
      <c r="B34" s="355" t="s">
        <v>22</v>
      </c>
      <c r="C34" s="289"/>
      <c r="D34" s="289"/>
      <c r="E34" s="289">
        <v>851</v>
      </c>
      <c r="F34" s="1" t="s">
        <v>18</v>
      </c>
      <c r="G34" s="1" t="s">
        <v>45</v>
      </c>
      <c r="H34" s="1" t="s">
        <v>47</v>
      </c>
      <c r="I34" s="1" t="s">
        <v>24</v>
      </c>
      <c r="J34" s="2">
        <f t="shared" ref="J34:N34" si="15">J35</f>
        <v>216840</v>
      </c>
      <c r="K34" s="2">
        <f t="shared" si="15"/>
        <v>216840</v>
      </c>
      <c r="L34" s="2"/>
      <c r="M34" s="2">
        <f t="shared" si="5"/>
        <v>216840</v>
      </c>
      <c r="N34" s="2">
        <f t="shared" si="15"/>
        <v>216840</v>
      </c>
      <c r="O34" s="17"/>
      <c r="P34" s="2">
        <f t="shared" si="6"/>
        <v>216840</v>
      </c>
    </row>
    <row r="35" spans="1:16" ht="13.5" customHeight="1" x14ac:dyDescent="0.25">
      <c r="A35" s="17"/>
      <c r="B35" s="355" t="s">
        <v>25</v>
      </c>
      <c r="C35" s="289"/>
      <c r="D35" s="289"/>
      <c r="E35" s="289">
        <v>851</v>
      </c>
      <c r="F35" s="1" t="s">
        <v>18</v>
      </c>
      <c r="G35" s="1" t="s">
        <v>45</v>
      </c>
      <c r="H35" s="1" t="s">
        <v>47</v>
      </c>
      <c r="I35" s="1" t="s">
        <v>26</v>
      </c>
      <c r="J35" s="2">
        <v>216840</v>
      </c>
      <c r="K35" s="2">
        <v>216840</v>
      </c>
      <c r="L35" s="2"/>
      <c r="M35" s="2">
        <f t="shared" si="5"/>
        <v>216840</v>
      </c>
      <c r="N35" s="2">
        <v>216840</v>
      </c>
      <c r="O35" s="17"/>
      <c r="P35" s="2">
        <f t="shared" si="6"/>
        <v>216840</v>
      </c>
    </row>
    <row r="36" spans="1:16" ht="14.25" customHeight="1" x14ac:dyDescent="0.25">
      <c r="A36" s="17"/>
      <c r="B36" s="356" t="s">
        <v>28</v>
      </c>
      <c r="C36" s="289"/>
      <c r="D36" s="289"/>
      <c r="E36" s="289">
        <v>851</v>
      </c>
      <c r="F36" s="1" t="s">
        <v>18</v>
      </c>
      <c r="G36" s="1" t="s">
        <v>45</v>
      </c>
      <c r="H36" s="1" t="s">
        <v>47</v>
      </c>
      <c r="I36" s="1" t="s">
        <v>29</v>
      </c>
      <c r="J36" s="2">
        <f>J37</f>
        <v>123860</v>
      </c>
      <c r="K36" s="2">
        <f>K37</f>
        <v>123860</v>
      </c>
      <c r="L36" s="2"/>
      <c r="M36" s="2">
        <f t="shared" si="5"/>
        <v>123860</v>
      </c>
      <c r="N36" s="2">
        <f>N37</f>
        <v>123860</v>
      </c>
      <c r="O36" s="17"/>
      <c r="P36" s="2">
        <f t="shared" si="6"/>
        <v>123860</v>
      </c>
    </row>
    <row r="37" spans="1:16" ht="25.5" customHeight="1" x14ac:dyDescent="0.25">
      <c r="A37" s="17"/>
      <c r="B37" s="356" t="s">
        <v>30</v>
      </c>
      <c r="C37" s="289"/>
      <c r="D37" s="289"/>
      <c r="E37" s="289">
        <v>851</v>
      </c>
      <c r="F37" s="1" t="s">
        <v>18</v>
      </c>
      <c r="G37" s="1" t="s">
        <v>45</v>
      </c>
      <c r="H37" s="1" t="s">
        <v>47</v>
      </c>
      <c r="I37" s="1" t="s">
        <v>31</v>
      </c>
      <c r="J37" s="2">
        <f>123860</f>
        <v>123860</v>
      </c>
      <c r="K37" s="2">
        <f>123860</f>
        <v>123860</v>
      </c>
      <c r="L37" s="2"/>
      <c r="M37" s="2">
        <f t="shared" si="5"/>
        <v>123860</v>
      </c>
      <c r="N37" s="2">
        <f>123860</f>
        <v>123860</v>
      </c>
      <c r="O37" s="17"/>
      <c r="P37" s="2">
        <f t="shared" si="6"/>
        <v>123860</v>
      </c>
    </row>
    <row r="38" spans="1:16" ht="26.25" customHeight="1" x14ac:dyDescent="0.25">
      <c r="A38" s="583" t="s">
        <v>52</v>
      </c>
      <c r="B38" s="583"/>
      <c r="C38" s="356"/>
      <c r="D38" s="356"/>
      <c r="E38" s="289">
        <v>851</v>
      </c>
      <c r="F38" s="1" t="s">
        <v>23</v>
      </c>
      <c r="G38" s="20" t="s">
        <v>45</v>
      </c>
      <c r="H38" s="1" t="s">
        <v>53</v>
      </c>
      <c r="I38" s="1"/>
      <c r="J38" s="2">
        <f t="shared" ref="J38:N39" si="16">J39</f>
        <v>450000</v>
      </c>
      <c r="K38" s="2">
        <f t="shared" si="16"/>
        <v>450000</v>
      </c>
      <c r="L38" s="2"/>
      <c r="M38" s="2">
        <f t="shared" si="5"/>
        <v>450000</v>
      </c>
      <c r="N38" s="2">
        <f t="shared" si="16"/>
        <v>450000</v>
      </c>
      <c r="O38" s="17"/>
      <c r="P38" s="2">
        <f t="shared" si="6"/>
        <v>450000</v>
      </c>
    </row>
    <row r="39" spans="1:16" ht="15" customHeight="1" x14ac:dyDescent="0.25">
      <c r="A39" s="17"/>
      <c r="B39" s="356" t="s">
        <v>28</v>
      </c>
      <c r="C39" s="355"/>
      <c r="D39" s="355"/>
      <c r="E39" s="289">
        <v>851</v>
      </c>
      <c r="F39" s="1" t="s">
        <v>18</v>
      </c>
      <c r="G39" s="1" t="s">
        <v>45</v>
      </c>
      <c r="H39" s="1" t="s">
        <v>53</v>
      </c>
      <c r="I39" s="1" t="s">
        <v>29</v>
      </c>
      <c r="J39" s="2">
        <f t="shared" si="16"/>
        <v>450000</v>
      </c>
      <c r="K39" s="2">
        <f t="shared" si="16"/>
        <v>450000</v>
      </c>
      <c r="L39" s="2"/>
      <c r="M39" s="2">
        <f t="shared" si="5"/>
        <v>450000</v>
      </c>
      <c r="N39" s="2">
        <f t="shared" si="16"/>
        <v>450000</v>
      </c>
      <c r="O39" s="17"/>
      <c r="P39" s="2">
        <f t="shared" si="6"/>
        <v>450000</v>
      </c>
    </row>
    <row r="40" spans="1:16" ht="24.75" customHeight="1" x14ac:dyDescent="0.25">
      <c r="A40" s="17"/>
      <c r="B40" s="356" t="s">
        <v>30</v>
      </c>
      <c r="C40" s="356"/>
      <c r="D40" s="356"/>
      <c r="E40" s="289">
        <v>851</v>
      </c>
      <c r="F40" s="1" t="s">
        <v>18</v>
      </c>
      <c r="G40" s="1" t="s">
        <v>45</v>
      </c>
      <c r="H40" s="1" t="s">
        <v>53</v>
      </c>
      <c r="I40" s="1" t="s">
        <v>31</v>
      </c>
      <c r="J40" s="2">
        <v>450000</v>
      </c>
      <c r="K40" s="2">
        <v>450000</v>
      </c>
      <c r="L40" s="2"/>
      <c r="M40" s="2">
        <f t="shared" si="5"/>
        <v>450000</v>
      </c>
      <c r="N40" s="2">
        <v>450000</v>
      </c>
      <c r="O40" s="17"/>
      <c r="P40" s="2">
        <f t="shared" si="6"/>
        <v>450000</v>
      </c>
    </row>
    <row r="41" spans="1:16" ht="16.5" customHeight="1" x14ac:dyDescent="0.25">
      <c r="A41" s="583" t="s">
        <v>54</v>
      </c>
      <c r="B41" s="583"/>
      <c r="C41" s="358"/>
      <c r="D41" s="358"/>
      <c r="E41" s="289">
        <v>851</v>
      </c>
      <c r="F41" s="1" t="s">
        <v>18</v>
      </c>
      <c r="G41" s="1" t="s">
        <v>45</v>
      </c>
      <c r="H41" s="1" t="s">
        <v>55</v>
      </c>
      <c r="I41" s="1"/>
      <c r="J41" s="2">
        <f>J42</f>
        <v>1575000</v>
      </c>
      <c r="K41" s="2">
        <f t="shared" ref="K41:N41" si="17">K42</f>
        <v>1575000</v>
      </c>
      <c r="L41" s="2"/>
      <c r="M41" s="2">
        <f t="shared" si="5"/>
        <v>1575000</v>
      </c>
      <c r="N41" s="2">
        <f t="shared" si="17"/>
        <v>1575000</v>
      </c>
      <c r="O41" s="17"/>
      <c r="P41" s="2">
        <f t="shared" si="6"/>
        <v>1575000</v>
      </c>
    </row>
    <row r="42" spans="1:16" ht="15" customHeight="1" x14ac:dyDescent="0.25">
      <c r="A42" s="17"/>
      <c r="B42" s="356" t="s">
        <v>28</v>
      </c>
      <c r="C42" s="355"/>
      <c r="D42" s="355"/>
      <c r="E42" s="289">
        <v>851</v>
      </c>
      <c r="F42" s="1" t="s">
        <v>18</v>
      </c>
      <c r="G42" s="1" t="s">
        <v>45</v>
      </c>
      <c r="H42" s="1" t="s">
        <v>55</v>
      </c>
      <c r="I42" s="1" t="s">
        <v>29</v>
      </c>
      <c r="J42" s="2">
        <f t="shared" ref="J42:N42" si="18">J43</f>
        <v>1575000</v>
      </c>
      <c r="K42" s="2">
        <f t="shared" si="18"/>
        <v>1575000</v>
      </c>
      <c r="L42" s="2"/>
      <c r="M42" s="2">
        <f t="shared" si="5"/>
        <v>1575000</v>
      </c>
      <c r="N42" s="2">
        <f t="shared" si="18"/>
        <v>1575000</v>
      </c>
      <c r="O42" s="17"/>
      <c r="P42" s="2">
        <f t="shared" si="6"/>
        <v>1575000</v>
      </c>
    </row>
    <row r="43" spans="1:16" ht="23.25" customHeight="1" x14ac:dyDescent="0.25">
      <c r="A43" s="17"/>
      <c r="B43" s="356" t="s">
        <v>30</v>
      </c>
      <c r="C43" s="356"/>
      <c r="D43" s="356"/>
      <c r="E43" s="289">
        <v>851</v>
      </c>
      <c r="F43" s="1" t="s">
        <v>18</v>
      </c>
      <c r="G43" s="1" t="s">
        <v>45</v>
      </c>
      <c r="H43" s="1" t="s">
        <v>55</v>
      </c>
      <c r="I43" s="1" t="s">
        <v>31</v>
      </c>
      <c r="J43" s="2">
        <v>1575000</v>
      </c>
      <c r="K43" s="2">
        <v>1575000</v>
      </c>
      <c r="L43" s="2"/>
      <c r="M43" s="2">
        <f t="shared" si="5"/>
        <v>1575000</v>
      </c>
      <c r="N43" s="2">
        <v>1575000</v>
      </c>
      <c r="O43" s="17"/>
      <c r="P43" s="2">
        <f t="shared" si="6"/>
        <v>1575000</v>
      </c>
    </row>
    <row r="44" spans="1:16" s="221" customFormat="1" ht="24" customHeight="1" x14ac:dyDescent="0.2">
      <c r="A44" s="577" t="s">
        <v>570</v>
      </c>
      <c r="B44" s="578"/>
      <c r="C44" s="220"/>
      <c r="D44" s="220"/>
      <c r="E44" s="289">
        <v>851</v>
      </c>
      <c r="F44" s="20" t="s">
        <v>18</v>
      </c>
      <c r="G44" s="20" t="s">
        <v>45</v>
      </c>
      <c r="H44" s="20" t="s">
        <v>571</v>
      </c>
      <c r="I44" s="20"/>
      <c r="J44" s="24">
        <f>J47+J45</f>
        <v>1572000</v>
      </c>
      <c r="K44" s="24">
        <f t="shared" ref="K44" si="19">K47+K45</f>
        <v>1300000</v>
      </c>
      <c r="L44" s="24">
        <f t="shared" ref="L44:P44" si="20">L47+L45</f>
        <v>0</v>
      </c>
      <c r="M44" s="24">
        <f t="shared" si="20"/>
        <v>1300000</v>
      </c>
      <c r="N44" s="24">
        <f t="shared" si="20"/>
        <v>1700000</v>
      </c>
      <c r="O44" s="24">
        <f t="shared" si="20"/>
        <v>-755500</v>
      </c>
      <c r="P44" s="24">
        <f t="shared" si="20"/>
        <v>944500</v>
      </c>
    </row>
    <row r="45" spans="1:16" ht="15" customHeight="1" x14ac:dyDescent="0.25">
      <c r="A45" s="17"/>
      <c r="B45" s="356" t="s">
        <v>28</v>
      </c>
      <c r="C45" s="355"/>
      <c r="D45" s="355"/>
      <c r="E45" s="289">
        <v>851</v>
      </c>
      <c r="F45" s="1" t="s">
        <v>18</v>
      </c>
      <c r="G45" s="1" t="s">
        <v>45</v>
      </c>
      <c r="H45" s="20" t="s">
        <v>571</v>
      </c>
      <c r="I45" s="1" t="s">
        <v>29</v>
      </c>
      <c r="J45" s="2">
        <f t="shared" ref="J45:P45" si="21">J46</f>
        <v>172000</v>
      </c>
      <c r="K45" s="2">
        <f t="shared" si="21"/>
        <v>300000</v>
      </c>
      <c r="L45" s="2">
        <f t="shared" si="21"/>
        <v>0</v>
      </c>
      <c r="M45" s="2">
        <f t="shared" si="21"/>
        <v>300000</v>
      </c>
      <c r="N45" s="2">
        <f t="shared" si="21"/>
        <v>1700000</v>
      </c>
      <c r="O45" s="2">
        <f t="shared" si="21"/>
        <v>-755500</v>
      </c>
      <c r="P45" s="2">
        <f t="shared" si="21"/>
        <v>944500</v>
      </c>
    </row>
    <row r="46" spans="1:16" ht="25.5" customHeight="1" x14ac:dyDescent="0.25">
      <c r="A46" s="17"/>
      <c r="B46" s="356" t="s">
        <v>30</v>
      </c>
      <c r="C46" s="356"/>
      <c r="D46" s="356"/>
      <c r="E46" s="289">
        <v>851</v>
      </c>
      <c r="F46" s="1" t="s">
        <v>18</v>
      </c>
      <c r="G46" s="1" t="s">
        <v>45</v>
      </c>
      <c r="H46" s="20" t="s">
        <v>571</v>
      </c>
      <c r="I46" s="1" t="s">
        <v>31</v>
      </c>
      <c r="J46" s="2">
        <v>172000</v>
      </c>
      <c r="K46" s="2">
        <v>300000</v>
      </c>
      <c r="L46" s="2"/>
      <c r="M46" s="2">
        <f t="shared" si="5"/>
        <v>300000</v>
      </c>
      <c r="N46" s="2">
        <v>1700000</v>
      </c>
      <c r="O46" s="17">
        <v>-755500</v>
      </c>
      <c r="P46" s="2">
        <f t="shared" si="6"/>
        <v>944500</v>
      </c>
    </row>
    <row r="47" spans="1:16" s="221" customFormat="1" ht="15.75" customHeight="1" x14ac:dyDescent="0.2">
      <c r="A47" s="355"/>
      <c r="B47" s="356" t="s">
        <v>597</v>
      </c>
      <c r="C47" s="220"/>
      <c r="D47" s="220"/>
      <c r="E47" s="289">
        <v>851</v>
      </c>
      <c r="F47" s="20" t="s">
        <v>18</v>
      </c>
      <c r="G47" s="20" t="s">
        <v>45</v>
      </c>
      <c r="H47" s="20" t="s">
        <v>571</v>
      </c>
      <c r="I47" s="20" t="s">
        <v>77</v>
      </c>
      <c r="J47" s="24">
        <f t="shared" ref="J47:P47" si="22">J48</f>
        <v>1400000</v>
      </c>
      <c r="K47" s="24">
        <f t="shared" si="22"/>
        <v>1000000</v>
      </c>
      <c r="L47" s="24">
        <f t="shared" si="22"/>
        <v>0</v>
      </c>
      <c r="M47" s="24">
        <f t="shared" si="22"/>
        <v>1000000</v>
      </c>
      <c r="N47" s="24">
        <f t="shared" si="22"/>
        <v>0</v>
      </c>
      <c r="O47" s="24">
        <f t="shared" si="22"/>
        <v>0</v>
      </c>
      <c r="P47" s="24">
        <f t="shared" si="22"/>
        <v>0</v>
      </c>
    </row>
    <row r="48" spans="1:16" s="221" customFormat="1" ht="27" customHeight="1" x14ac:dyDescent="0.2">
      <c r="A48" s="355"/>
      <c r="B48" s="356" t="s">
        <v>78</v>
      </c>
      <c r="C48" s="220"/>
      <c r="D48" s="220"/>
      <c r="E48" s="289">
        <v>851</v>
      </c>
      <c r="F48" s="20" t="s">
        <v>18</v>
      </c>
      <c r="G48" s="20" t="s">
        <v>45</v>
      </c>
      <c r="H48" s="20" t="s">
        <v>571</v>
      </c>
      <c r="I48" s="20" t="s">
        <v>79</v>
      </c>
      <c r="J48" s="24">
        <v>1400000</v>
      </c>
      <c r="K48" s="24">
        <v>1000000</v>
      </c>
      <c r="L48" s="24"/>
      <c r="M48" s="2">
        <f t="shared" si="5"/>
        <v>1000000</v>
      </c>
      <c r="N48" s="24"/>
      <c r="O48" s="222"/>
      <c r="P48" s="2">
        <f t="shared" si="6"/>
        <v>0</v>
      </c>
    </row>
    <row r="49" spans="1:16" ht="24.75" customHeight="1" x14ac:dyDescent="0.25">
      <c r="A49" s="583" t="s">
        <v>48</v>
      </c>
      <c r="B49" s="583"/>
      <c r="C49" s="356"/>
      <c r="D49" s="356"/>
      <c r="E49" s="289">
        <v>851</v>
      </c>
      <c r="F49" s="1" t="s">
        <v>18</v>
      </c>
      <c r="G49" s="1" t="s">
        <v>45</v>
      </c>
      <c r="H49" s="74" t="s">
        <v>49</v>
      </c>
      <c r="I49" s="1"/>
      <c r="J49" s="2">
        <f t="shared" ref="J49:P50" si="23">J50</f>
        <v>2000000</v>
      </c>
      <c r="K49" s="2">
        <f t="shared" si="23"/>
        <v>2000000</v>
      </c>
      <c r="L49" s="2">
        <f t="shared" si="23"/>
        <v>-1321000</v>
      </c>
      <c r="M49" s="2">
        <f t="shared" si="23"/>
        <v>679000</v>
      </c>
      <c r="N49" s="2">
        <f t="shared" si="23"/>
        <v>2000000</v>
      </c>
      <c r="O49" s="2">
        <f t="shared" si="23"/>
        <v>-1400000</v>
      </c>
      <c r="P49" s="2">
        <f t="shared" si="23"/>
        <v>600000</v>
      </c>
    </row>
    <row r="50" spans="1:16" ht="15" customHeight="1" x14ac:dyDescent="0.25">
      <c r="A50" s="17"/>
      <c r="B50" s="356" t="s">
        <v>28</v>
      </c>
      <c r="C50" s="355"/>
      <c r="D50" s="355"/>
      <c r="E50" s="289">
        <v>851</v>
      </c>
      <c r="F50" s="1" t="s">
        <v>18</v>
      </c>
      <c r="G50" s="20" t="s">
        <v>45</v>
      </c>
      <c r="H50" s="74" t="s">
        <v>49</v>
      </c>
      <c r="I50" s="1" t="s">
        <v>29</v>
      </c>
      <c r="J50" s="2">
        <f t="shared" si="23"/>
        <v>2000000</v>
      </c>
      <c r="K50" s="2">
        <f t="shared" si="23"/>
        <v>2000000</v>
      </c>
      <c r="L50" s="2">
        <f t="shared" si="23"/>
        <v>-1321000</v>
      </c>
      <c r="M50" s="2">
        <f t="shared" si="23"/>
        <v>679000</v>
      </c>
      <c r="N50" s="2">
        <f t="shared" si="23"/>
        <v>2000000</v>
      </c>
      <c r="O50" s="2">
        <f t="shared" si="23"/>
        <v>-1400000</v>
      </c>
      <c r="P50" s="2">
        <f t="shared" si="23"/>
        <v>600000</v>
      </c>
    </row>
    <row r="51" spans="1:16" ht="27.75" customHeight="1" x14ac:dyDescent="0.25">
      <c r="A51" s="17"/>
      <c r="B51" s="356" t="s">
        <v>30</v>
      </c>
      <c r="C51" s="356"/>
      <c r="D51" s="356"/>
      <c r="E51" s="289">
        <v>851</v>
      </c>
      <c r="F51" s="1" t="s">
        <v>18</v>
      </c>
      <c r="G51" s="20" t="s">
        <v>45</v>
      </c>
      <c r="H51" s="74" t="s">
        <v>49</v>
      </c>
      <c r="I51" s="1" t="s">
        <v>31</v>
      </c>
      <c r="J51" s="2">
        <v>2000000</v>
      </c>
      <c r="K51" s="2">
        <v>2000000</v>
      </c>
      <c r="L51" s="2">
        <v>-1321000</v>
      </c>
      <c r="M51" s="2">
        <f t="shared" si="5"/>
        <v>679000</v>
      </c>
      <c r="N51" s="2">
        <v>2000000</v>
      </c>
      <c r="O51" s="448">
        <v>-1400000</v>
      </c>
      <c r="P51" s="2">
        <f t="shared" si="6"/>
        <v>600000</v>
      </c>
    </row>
    <row r="52" spans="1:16" ht="15" customHeight="1" x14ac:dyDescent="0.25">
      <c r="A52" s="583" t="s">
        <v>50</v>
      </c>
      <c r="B52" s="583"/>
      <c r="C52" s="356"/>
      <c r="D52" s="356"/>
      <c r="E52" s="289">
        <v>851</v>
      </c>
      <c r="F52" s="1" t="s">
        <v>18</v>
      </c>
      <c r="G52" s="20" t="s">
        <v>45</v>
      </c>
      <c r="H52" s="74" t="s">
        <v>51</v>
      </c>
      <c r="I52" s="1"/>
      <c r="J52" s="2">
        <f t="shared" ref="J52:N53" si="24">J53</f>
        <v>300000</v>
      </c>
      <c r="K52" s="2">
        <f t="shared" si="24"/>
        <v>300000</v>
      </c>
      <c r="L52" s="2"/>
      <c r="M52" s="2">
        <f t="shared" si="5"/>
        <v>300000</v>
      </c>
      <c r="N52" s="2">
        <f t="shared" si="24"/>
        <v>300000</v>
      </c>
      <c r="O52" s="17"/>
      <c r="P52" s="2">
        <f t="shared" si="6"/>
        <v>300000</v>
      </c>
    </row>
    <row r="53" spans="1:16" ht="13.5" customHeight="1" x14ac:dyDescent="0.25">
      <c r="A53" s="17"/>
      <c r="B53" s="356" t="s">
        <v>28</v>
      </c>
      <c r="C53" s="355"/>
      <c r="D53" s="355"/>
      <c r="E53" s="289">
        <v>851</v>
      </c>
      <c r="F53" s="1" t="s">
        <v>18</v>
      </c>
      <c r="G53" s="20" t="s">
        <v>45</v>
      </c>
      <c r="H53" s="74" t="s">
        <v>51</v>
      </c>
      <c r="I53" s="1" t="s">
        <v>29</v>
      </c>
      <c r="J53" s="2">
        <f t="shared" si="24"/>
        <v>300000</v>
      </c>
      <c r="K53" s="2">
        <f t="shared" si="24"/>
        <v>300000</v>
      </c>
      <c r="L53" s="2"/>
      <c r="M53" s="2">
        <f t="shared" si="5"/>
        <v>300000</v>
      </c>
      <c r="N53" s="2">
        <f t="shared" si="24"/>
        <v>300000</v>
      </c>
      <c r="O53" s="17"/>
      <c r="P53" s="2">
        <f t="shared" si="6"/>
        <v>300000</v>
      </c>
    </row>
    <row r="54" spans="1:16" ht="24.75" customHeight="1" x14ac:dyDescent="0.25">
      <c r="A54" s="17"/>
      <c r="B54" s="356" t="s">
        <v>30</v>
      </c>
      <c r="C54" s="356"/>
      <c r="D54" s="356"/>
      <c r="E54" s="289">
        <v>851</v>
      </c>
      <c r="F54" s="1" t="s">
        <v>18</v>
      </c>
      <c r="G54" s="20" t="s">
        <v>45</v>
      </c>
      <c r="H54" s="74" t="s">
        <v>51</v>
      </c>
      <c r="I54" s="1" t="s">
        <v>31</v>
      </c>
      <c r="J54" s="2">
        <v>300000</v>
      </c>
      <c r="K54" s="2">
        <v>300000</v>
      </c>
      <c r="L54" s="2"/>
      <c r="M54" s="2">
        <f t="shared" si="5"/>
        <v>300000</v>
      </c>
      <c r="N54" s="2">
        <v>300000</v>
      </c>
      <c r="O54" s="17"/>
      <c r="P54" s="2">
        <f t="shared" si="6"/>
        <v>300000</v>
      </c>
    </row>
    <row r="55" spans="1:16" s="11" customFormat="1" x14ac:dyDescent="0.25">
      <c r="A55" s="588" t="s">
        <v>162</v>
      </c>
      <c r="B55" s="588"/>
      <c r="C55" s="364"/>
      <c r="D55" s="33"/>
      <c r="E55" s="32">
        <v>851</v>
      </c>
      <c r="F55" s="7" t="s">
        <v>74</v>
      </c>
      <c r="G55" s="7"/>
      <c r="H55" s="7"/>
      <c r="I55" s="7"/>
      <c r="J55" s="9">
        <f t="shared" ref="J55:P56" si="25">J56</f>
        <v>428902</v>
      </c>
      <c r="K55" s="9">
        <f t="shared" si="25"/>
        <v>434142</v>
      </c>
      <c r="L55" s="9">
        <f t="shared" si="25"/>
        <v>0</v>
      </c>
      <c r="M55" s="9">
        <f t="shared" si="25"/>
        <v>434142</v>
      </c>
      <c r="N55" s="9">
        <f t="shared" si="25"/>
        <v>414947</v>
      </c>
      <c r="O55" s="9">
        <f t="shared" si="25"/>
        <v>0</v>
      </c>
      <c r="P55" s="9">
        <f t="shared" si="25"/>
        <v>414947</v>
      </c>
    </row>
    <row r="56" spans="1:16" s="35" customFormat="1" x14ac:dyDescent="0.25">
      <c r="A56" s="590" t="s">
        <v>163</v>
      </c>
      <c r="B56" s="590"/>
      <c r="C56" s="369"/>
      <c r="D56" s="34"/>
      <c r="E56" s="32">
        <v>851</v>
      </c>
      <c r="F56" s="12" t="s">
        <v>74</v>
      </c>
      <c r="G56" s="12" t="s">
        <v>4</v>
      </c>
      <c r="H56" s="12"/>
      <c r="I56" s="12"/>
      <c r="J56" s="14">
        <f t="shared" si="25"/>
        <v>428902</v>
      </c>
      <c r="K56" s="14">
        <f t="shared" si="25"/>
        <v>434142</v>
      </c>
      <c r="L56" s="14">
        <f t="shared" si="25"/>
        <v>0</v>
      </c>
      <c r="M56" s="14">
        <f t="shared" si="25"/>
        <v>434142</v>
      </c>
      <c r="N56" s="14">
        <f t="shared" si="25"/>
        <v>414947</v>
      </c>
      <c r="O56" s="14">
        <f t="shared" si="25"/>
        <v>0</v>
      </c>
      <c r="P56" s="14">
        <f t="shared" si="25"/>
        <v>414947</v>
      </c>
    </row>
    <row r="57" spans="1:16" s="26" customFormat="1" ht="46.5" customHeight="1" x14ac:dyDescent="0.25">
      <c r="A57" s="583" t="s">
        <v>658</v>
      </c>
      <c r="B57" s="583"/>
      <c r="C57" s="355"/>
      <c r="E57" s="32">
        <v>851</v>
      </c>
      <c r="F57" s="145" t="s">
        <v>74</v>
      </c>
      <c r="G57" s="145" t="s">
        <v>4</v>
      </c>
      <c r="H57" s="145" t="s">
        <v>590</v>
      </c>
      <c r="I57" s="213" t="s">
        <v>164</v>
      </c>
      <c r="J57" s="44">
        <f>J58+J60</f>
        <v>428902</v>
      </c>
      <c r="K57" s="44">
        <f>K58+K60</f>
        <v>434142</v>
      </c>
      <c r="L57" s="44"/>
      <c r="M57" s="2">
        <f t="shared" si="5"/>
        <v>434142</v>
      </c>
      <c r="N57" s="44">
        <f>N58+N60</f>
        <v>414947</v>
      </c>
      <c r="O57" s="434"/>
      <c r="P57" s="2">
        <f t="shared" si="6"/>
        <v>414947</v>
      </c>
    </row>
    <row r="58" spans="1:16" ht="36" customHeight="1" x14ac:dyDescent="0.25">
      <c r="A58" s="17"/>
      <c r="B58" s="355" t="s">
        <v>22</v>
      </c>
      <c r="C58" s="289"/>
      <c r="D58" s="289"/>
      <c r="E58" s="289">
        <v>851</v>
      </c>
      <c r="F58" s="1" t="s">
        <v>74</v>
      </c>
      <c r="G58" s="1" t="s">
        <v>4</v>
      </c>
      <c r="H58" s="145" t="s">
        <v>590</v>
      </c>
      <c r="I58" s="1" t="s">
        <v>24</v>
      </c>
      <c r="J58" s="2">
        <f t="shared" ref="J58:N58" si="26">J59</f>
        <v>379160</v>
      </c>
      <c r="K58" s="2">
        <f t="shared" si="26"/>
        <v>384400</v>
      </c>
      <c r="L58" s="2"/>
      <c r="M58" s="2">
        <f t="shared" si="5"/>
        <v>384400</v>
      </c>
      <c r="N58" s="2">
        <f t="shared" si="26"/>
        <v>366131</v>
      </c>
      <c r="O58" s="17"/>
      <c r="P58" s="2">
        <f t="shared" si="6"/>
        <v>366131</v>
      </c>
    </row>
    <row r="59" spans="1:16" ht="14.25" customHeight="1" x14ac:dyDescent="0.25">
      <c r="A59" s="17"/>
      <c r="B59" s="355" t="s">
        <v>25</v>
      </c>
      <c r="C59" s="289"/>
      <c r="D59" s="289"/>
      <c r="E59" s="289">
        <v>851</v>
      </c>
      <c r="F59" s="1" t="s">
        <v>74</v>
      </c>
      <c r="G59" s="1" t="s">
        <v>4</v>
      </c>
      <c r="H59" s="145" t="s">
        <v>590</v>
      </c>
      <c r="I59" s="1" t="s">
        <v>26</v>
      </c>
      <c r="J59" s="2">
        <v>379160</v>
      </c>
      <c r="K59" s="2">
        <v>384400</v>
      </c>
      <c r="L59" s="2"/>
      <c r="M59" s="2">
        <f t="shared" si="5"/>
        <v>384400</v>
      </c>
      <c r="N59" s="2">
        <v>366131</v>
      </c>
      <c r="O59" s="17"/>
      <c r="P59" s="2">
        <f t="shared" si="6"/>
        <v>366131</v>
      </c>
    </row>
    <row r="60" spans="1:16" ht="14.25" customHeight="1" x14ac:dyDescent="0.25">
      <c r="A60" s="17"/>
      <c r="B60" s="356" t="s">
        <v>28</v>
      </c>
      <c r="C60" s="289"/>
      <c r="D60" s="289"/>
      <c r="E60" s="289">
        <v>851</v>
      </c>
      <c r="F60" s="1" t="s">
        <v>74</v>
      </c>
      <c r="G60" s="1" t="s">
        <v>4</v>
      </c>
      <c r="H60" s="145" t="s">
        <v>590</v>
      </c>
      <c r="I60" s="1" t="s">
        <v>29</v>
      </c>
      <c r="J60" s="2">
        <f t="shared" ref="J60:N60" si="27">J61</f>
        <v>49742</v>
      </c>
      <c r="K60" s="2">
        <f t="shared" si="27"/>
        <v>49742</v>
      </c>
      <c r="L60" s="2"/>
      <c r="M60" s="2">
        <f t="shared" si="5"/>
        <v>49742</v>
      </c>
      <c r="N60" s="2">
        <f t="shared" si="27"/>
        <v>48816</v>
      </c>
      <c r="O60" s="17"/>
      <c r="P60" s="2">
        <f t="shared" si="6"/>
        <v>48816</v>
      </c>
    </row>
    <row r="61" spans="1:16" ht="27" customHeight="1" x14ac:dyDescent="0.25">
      <c r="A61" s="17"/>
      <c r="B61" s="356" t="s">
        <v>30</v>
      </c>
      <c r="C61" s="289"/>
      <c r="D61" s="289"/>
      <c r="E61" s="289">
        <v>851</v>
      </c>
      <c r="F61" s="1" t="s">
        <v>74</v>
      </c>
      <c r="G61" s="1" t="s">
        <v>4</v>
      </c>
      <c r="H61" s="145" t="s">
        <v>590</v>
      </c>
      <c r="I61" s="1" t="s">
        <v>31</v>
      </c>
      <c r="J61" s="2">
        <v>49742</v>
      </c>
      <c r="K61" s="2">
        <v>49742</v>
      </c>
      <c r="L61" s="2"/>
      <c r="M61" s="2">
        <f t="shared" si="5"/>
        <v>49742</v>
      </c>
      <c r="N61" s="2">
        <v>48816</v>
      </c>
      <c r="O61" s="17"/>
      <c r="P61" s="2">
        <f t="shared" si="6"/>
        <v>48816</v>
      </c>
    </row>
    <row r="62" spans="1:16" s="11" customFormat="1" ht="14.25" customHeight="1" x14ac:dyDescent="0.25">
      <c r="A62" s="588" t="s">
        <v>56</v>
      </c>
      <c r="B62" s="588"/>
      <c r="C62" s="364"/>
      <c r="D62" s="364"/>
      <c r="E62" s="289">
        <v>851</v>
      </c>
      <c r="F62" s="7" t="s">
        <v>4</v>
      </c>
      <c r="G62" s="7"/>
      <c r="H62" s="7"/>
      <c r="I62" s="7"/>
      <c r="J62" s="9">
        <f t="shared" ref="J62:P63" si="28">J63</f>
        <v>1332400</v>
      </c>
      <c r="K62" s="9">
        <f t="shared" si="28"/>
        <v>1332400</v>
      </c>
      <c r="L62" s="9">
        <f t="shared" si="28"/>
        <v>0</v>
      </c>
      <c r="M62" s="9">
        <f t="shared" si="28"/>
        <v>1332400</v>
      </c>
      <c r="N62" s="9">
        <f t="shared" si="28"/>
        <v>1332400</v>
      </c>
      <c r="O62" s="9">
        <f t="shared" si="28"/>
        <v>0</v>
      </c>
      <c r="P62" s="9">
        <f t="shared" si="28"/>
        <v>1332400</v>
      </c>
    </row>
    <row r="63" spans="1:16" s="15" customFormat="1" ht="30" customHeight="1" x14ac:dyDescent="0.25">
      <c r="A63" s="589" t="s">
        <v>57</v>
      </c>
      <c r="B63" s="589"/>
      <c r="C63" s="365"/>
      <c r="D63" s="365"/>
      <c r="E63" s="289">
        <v>851</v>
      </c>
      <c r="F63" s="12" t="s">
        <v>4</v>
      </c>
      <c r="G63" s="12" t="s">
        <v>58</v>
      </c>
      <c r="H63" s="12"/>
      <c r="I63" s="12"/>
      <c r="J63" s="14">
        <f>J64</f>
        <v>1332400</v>
      </c>
      <c r="K63" s="14">
        <f t="shared" si="28"/>
        <v>1332400</v>
      </c>
      <c r="L63" s="14">
        <f t="shared" si="28"/>
        <v>0</v>
      </c>
      <c r="M63" s="14">
        <f t="shared" si="28"/>
        <v>1332400</v>
      </c>
      <c r="N63" s="14">
        <f t="shared" si="28"/>
        <v>1332400</v>
      </c>
      <c r="O63" s="14">
        <f t="shared" si="28"/>
        <v>0</v>
      </c>
      <c r="P63" s="14">
        <f t="shared" si="28"/>
        <v>1332400</v>
      </c>
    </row>
    <row r="64" spans="1:16" ht="15" customHeight="1" x14ac:dyDescent="0.25">
      <c r="A64" s="583" t="s">
        <v>572</v>
      </c>
      <c r="B64" s="583"/>
      <c r="C64" s="356"/>
      <c r="D64" s="356"/>
      <c r="E64" s="289">
        <v>851</v>
      </c>
      <c r="F64" s="1" t="s">
        <v>4</v>
      </c>
      <c r="G64" s="126" t="s">
        <v>58</v>
      </c>
      <c r="H64" s="1" t="s">
        <v>59</v>
      </c>
      <c r="I64" s="1"/>
      <c r="J64" s="2">
        <f>J65+J67</f>
        <v>1332400</v>
      </c>
      <c r="K64" s="2">
        <f>K65+K67</f>
        <v>1332400</v>
      </c>
      <c r="L64" s="2"/>
      <c r="M64" s="2">
        <f t="shared" si="5"/>
        <v>1332400</v>
      </c>
      <c r="N64" s="2">
        <f>N65+N67</f>
        <v>1332400</v>
      </c>
      <c r="O64" s="17"/>
      <c r="P64" s="2">
        <f t="shared" si="6"/>
        <v>1332400</v>
      </c>
    </row>
    <row r="65" spans="1:16" ht="39" customHeight="1" x14ac:dyDescent="0.25">
      <c r="A65" s="356"/>
      <c r="B65" s="355" t="s">
        <v>22</v>
      </c>
      <c r="C65" s="356"/>
      <c r="D65" s="356"/>
      <c r="E65" s="289">
        <v>851</v>
      </c>
      <c r="F65" s="1" t="s">
        <v>4</v>
      </c>
      <c r="G65" s="20" t="s">
        <v>58</v>
      </c>
      <c r="H65" s="1" t="s">
        <v>59</v>
      </c>
      <c r="I65" s="1" t="s">
        <v>24</v>
      </c>
      <c r="J65" s="2">
        <f>J66</f>
        <v>1246000</v>
      </c>
      <c r="K65" s="2">
        <f>K66</f>
        <v>1246000</v>
      </c>
      <c r="L65" s="2"/>
      <c r="M65" s="2">
        <f t="shared" si="5"/>
        <v>1246000</v>
      </c>
      <c r="N65" s="2">
        <f>N66</f>
        <v>1246000</v>
      </c>
      <c r="O65" s="17"/>
      <c r="P65" s="2">
        <f t="shared" si="6"/>
        <v>1246000</v>
      </c>
    </row>
    <row r="66" spans="1:16" ht="13.5" customHeight="1" x14ac:dyDescent="0.25">
      <c r="A66" s="356"/>
      <c r="B66" s="356" t="s">
        <v>60</v>
      </c>
      <c r="C66" s="356"/>
      <c r="D66" s="356"/>
      <c r="E66" s="289">
        <v>851</v>
      </c>
      <c r="F66" s="1" t="s">
        <v>4</v>
      </c>
      <c r="G66" s="20" t="s">
        <v>58</v>
      </c>
      <c r="H66" s="1" t="s">
        <v>59</v>
      </c>
      <c r="I66" s="1" t="s">
        <v>61</v>
      </c>
      <c r="J66" s="2">
        <v>1246000</v>
      </c>
      <c r="K66" s="2">
        <v>1246000</v>
      </c>
      <c r="L66" s="2"/>
      <c r="M66" s="2">
        <f t="shared" si="5"/>
        <v>1246000</v>
      </c>
      <c r="N66" s="2">
        <v>1246000</v>
      </c>
      <c r="O66" s="17"/>
      <c r="P66" s="2">
        <f t="shared" si="6"/>
        <v>1246000</v>
      </c>
    </row>
    <row r="67" spans="1:16" ht="13.5" customHeight="1" x14ac:dyDescent="0.25">
      <c r="A67" s="17"/>
      <c r="B67" s="356" t="s">
        <v>28</v>
      </c>
      <c r="C67" s="355"/>
      <c r="D67" s="355"/>
      <c r="E67" s="289">
        <v>851</v>
      </c>
      <c r="F67" s="1" t="s">
        <v>4</v>
      </c>
      <c r="G67" s="20" t="s">
        <v>58</v>
      </c>
      <c r="H67" s="1" t="s">
        <v>59</v>
      </c>
      <c r="I67" s="1" t="s">
        <v>29</v>
      </c>
      <c r="J67" s="2">
        <f t="shared" ref="J67:N67" si="29">J68</f>
        <v>86400</v>
      </c>
      <c r="K67" s="2">
        <f t="shared" si="29"/>
        <v>86400</v>
      </c>
      <c r="L67" s="2"/>
      <c r="M67" s="2">
        <f t="shared" si="5"/>
        <v>86400</v>
      </c>
      <c r="N67" s="2">
        <f t="shared" si="29"/>
        <v>86400</v>
      </c>
      <c r="O67" s="17"/>
      <c r="P67" s="2">
        <f t="shared" si="6"/>
        <v>86400</v>
      </c>
    </row>
    <row r="68" spans="1:16" ht="25.5" customHeight="1" x14ac:dyDescent="0.25">
      <c r="A68" s="17"/>
      <c r="B68" s="356" t="s">
        <v>30</v>
      </c>
      <c r="C68" s="356"/>
      <c r="D68" s="356"/>
      <c r="E68" s="289">
        <v>851</v>
      </c>
      <c r="F68" s="1" t="s">
        <v>4</v>
      </c>
      <c r="G68" s="20" t="s">
        <v>58</v>
      </c>
      <c r="H68" s="1" t="s">
        <v>59</v>
      </c>
      <c r="I68" s="1" t="s">
        <v>31</v>
      </c>
      <c r="J68" s="2">
        <v>86400</v>
      </c>
      <c r="K68" s="2">
        <v>86400</v>
      </c>
      <c r="L68" s="2"/>
      <c r="M68" s="2">
        <f t="shared" si="5"/>
        <v>86400</v>
      </c>
      <c r="N68" s="2">
        <v>86400</v>
      </c>
      <c r="O68" s="17"/>
      <c r="P68" s="2">
        <f t="shared" si="6"/>
        <v>86400</v>
      </c>
    </row>
    <row r="69" spans="1:16" s="11" customFormat="1" x14ac:dyDescent="0.25">
      <c r="A69" s="588" t="s">
        <v>62</v>
      </c>
      <c r="B69" s="588"/>
      <c r="C69" s="364"/>
      <c r="D69" s="364"/>
      <c r="E69" s="289">
        <v>851</v>
      </c>
      <c r="F69" s="7" t="s">
        <v>7</v>
      </c>
      <c r="G69" s="7"/>
      <c r="H69" s="7"/>
      <c r="I69" s="7"/>
      <c r="J69" s="9">
        <f>J70+J77+J81</f>
        <v>2897640</v>
      </c>
      <c r="K69" s="9">
        <f>K70+K77+K81</f>
        <v>3524640</v>
      </c>
      <c r="L69" s="9">
        <f t="shared" ref="L69:P69" si="30">L70+L77+L81</f>
        <v>0</v>
      </c>
      <c r="M69" s="9">
        <f t="shared" si="30"/>
        <v>3524640</v>
      </c>
      <c r="N69" s="9">
        <f t="shared" si="30"/>
        <v>2885640</v>
      </c>
      <c r="O69" s="9">
        <f t="shared" si="30"/>
        <v>0</v>
      </c>
      <c r="P69" s="9">
        <f t="shared" si="30"/>
        <v>2885640</v>
      </c>
    </row>
    <row r="70" spans="1:16" s="15" customFormat="1" x14ac:dyDescent="0.25">
      <c r="A70" s="589" t="s">
        <v>63</v>
      </c>
      <c r="B70" s="589"/>
      <c r="C70" s="365"/>
      <c r="D70" s="365"/>
      <c r="E70" s="289">
        <v>851</v>
      </c>
      <c r="F70" s="12" t="s">
        <v>7</v>
      </c>
      <c r="G70" s="12" t="s">
        <v>64</v>
      </c>
      <c r="H70" s="12"/>
      <c r="I70" s="12"/>
      <c r="J70" s="14">
        <f>J71+J74</f>
        <v>66140</v>
      </c>
      <c r="K70" s="14">
        <f t="shared" ref="K70" si="31">K71+K74</f>
        <v>66140</v>
      </c>
      <c r="L70" s="14">
        <f t="shared" ref="L70:P70" si="32">L71+L74</f>
        <v>0</v>
      </c>
      <c r="M70" s="14">
        <f t="shared" si="32"/>
        <v>66140</v>
      </c>
      <c r="N70" s="14">
        <f t="shared" si="32"/>
        <v>66140</v>
      </c>
      <c r="O70" s="14">
        <f t="shared" si="32"/>
        <v>0</v>
      </c>
      <c r="P70" s="14">
        <f t="shared" si="32"/>
        <v>66140</v>
      </c>
    </row>
    <row r="71" spans="1:16" s="15" customFormat="1" ht="63.75" customHeight="1" x14ac:dyDescent="0.25">
      <c r="A71" s="552" t="s">
        <v>603</v>
      </c>
      <c r="B71" s="553"/>
      <c r="C71" s="365"/>
      <c r="D71" s="365"/>
      <c r="E71" s="289">
        <v>851</v>
      </c>
      <c r="F71" s="1" t="s">
        <v>7</v>
      </c>
      <c r="G71" s="126" t="s">
        <v>64</v>
      </c>
      <c r="H71" s="1" t="s">
        <v>604</v>
      </c>
      <c r="I71" s="1"/>
      <c r="J71" s="2">
        <f t="shared" ref="J71:N72" si="33">J72</f>
        <v>11140</v>
      </c>
      <c r="K71" s="2">
        <f t="shared" si="33"/>
        <v>11140</v>
      </c>
      <c r="L71" s="2"/>
      <c r="M71" s="2">
        <f t="shared" si="5"/>
        <v>11140</v>
      </c>
      <c r="N71" s="2">
        <f t="shared" si="33"/>
        <v>11140</v>
      </c>
      <c r="O71" s="435"/>
      <c r="P71" s="2">
        <f t="shared" si="6"/>
        <v>11140</v>
      </c>
    </row>
    <row r="72" spans="1:16" s="15" customFormat="1" ht="12" customHeight="1" x14ac:dyDescent="0.25">
      <c r="A72" s="365"/>
      <c r="B72" s="366" t="s">
        <v>28</v>
      </c>
      <c r="C72" s="355"/>
      <c r="D72" s="355"/>
      <c r="E72" s="289">
        <v>851</v>
      </c>
      <c r="F72" s="1" t="s">
        <v>7</v>
      </c>
      <c r="G72" s="126" t="s">
        <v>64</v>
      </c>
      <c r="H72" s="1" t="s">
        <v>604</v>
      </c>
      <c r="I72" s="1" t="s">
        <v>29</v>
      </c>
      <c r="J72" s="2">
        <f t="shared" si="33"/>
        <v>11140</v>
      </c>
      <c r="K72" s="2">
        <f t="shared" si="33"/>
        <v>11140</v>
      </c>
      <c r="L72" s="2"/>
      <c r="M72" s="2">
        <f t="shared" si="5"/>
        <v>11140</v>
      </c>
      <c r="N72" s="2">
        <f t="shared" si="33"/>
        <v>11140</v>
      </c>
      <c r="O72" s="435"/>
      <c r="P72" s="2">
        <f t="shared" si="6"/>
        <v>11140</v>
      </c>
    </row>
    <row r="73" spans="1:16" s="15" customFormat="1" ht="25.5" customHeight="1" x14ac:dyDescent="0.25">
      <c r="A73" s="365"/>
      <c r="B73" s="366" t="s">
        <v>30</v>
      </c>
      <c r="C73" s="356"/>
      <c r="D73" s="356"/>
      <c r="E73" s="289">
        <v>851</v>
      </c>
      <c r="F73" s="1" t="s">
        <v>7</v>
      </c>
      <c r="G73" s="126" t="s">
        <v>64</v>
      </c>
      <c r="H73" s="1" t="s">
        <v>604</v>
      </c>
      <c r="I73" s="1" t="s">
        <v>31</v>
      </c>
      <c r="J73" s="2">
        <v>11140</v>
      </c>
      <c r="K73" s="2">
        <v>11140</v>
      </c>
      <c r="L73" s="2"/>
      <c r="M73" s="2">
        <f t="shared" si="5"/>
        <v>11140</v>
      </c>
      <c r="N73" s="2">
        <v>11140</v>
      </c>
      <c r="O73" s="435"/>
      <c r="P73" s="2">
        <f t="shared" si="6"/>
        <v>11140</v>
      </c>
    </row>
    <row r="74" spans="1:16" ht="24.75" customHeight="1" x14ac:dyDescent="0.25">
      <c r="A74" s="552" t="s">
        <v>65</v>
      </c>
      <c r="B74" s="553"/>
      <c r="C74" s="356"/>
      <c r="D74" s="356"/>
      <c r="E74" s="289">
        <v>851</v>
      </c>
      <c r="F74" s="1" t="s">
        <v>7</v>
      </c>
      <c r="G74" s="1" t="s">
        <v>64</v>
      </c>
      <c r="H74" s="1" t="s">
        <v>725</v>
      </c>
      <c r="I74" s="1"/>
      <c r="J74" s="2">
        <f t="shared" ref="J74:N75" si="34">J75</f>
        <v>55000</v>
      </c>
      <c r="K74" s="2">
        <f t="shared" si="34"/>
        <v>55000</v>
      </c>
      <c r="L74" s="2"/>
      <c r="M74" s="2">
        <f t="shared" si="5"/>
        <v>55000</v>
      </c>
      <c r="N74" s="2">
        <f t="shared" si="34"/>
        <v>55000</v>
      </c>
      <c r="O74" s="17"/>
      <c r="P74" s="2">
        <f t="shared" si="6"/>
        <v>55000</v>
      </c>
    </row>
    <row r="75" spans="1:16" ht="15.75" customHeight="1" x14ac:dyDescent="0.25">
      <c r="A75" s="17"/>
      <c r="B75" s="356" t="s">
        <v>28</v>
      </c>
      <c r="C75" s="355"/>
      <c r="D75" s="355"/>
      <c r="E75" s="289">
        <v>851</v>
      </c>
      <c r="F75" s="1" t="s">
        <v>7</v>
      </c>
      <c r="G75" s="1" t="s">
        <v>64</v>
      </c>
      <c r="H75" s="1" t="s">
        <v>725</v>
      </c>
      <c r="I75" s="1" t="s">
        <v>29</v>
      </c>
      <c r="J75" s="2">
        <f t="shared" si="34"/>
        <v>55000</v>
      </c>
      <c r="K75" s="2">
        <f t="shared" si="34"/>
        <v>55000</v>
      </c>
      <c r="L75" s="2"/>
      <c r="M75" s="2">
        <f t="shared" si="5"/>
        <v>55000</v>
      </c>
      <c r="N75" s="2">
        <f t="shared" si="34"/>
        <v>55000</v>
      </c>
      <c r="O75" s="17"/>
      <c r="P75" s="2">
        <f t="shared" si="6"/>
        <v>55000</v>
      </c>
    </row>
    <row r="76" spans="1:16" ht="27" customHeight="1" x14ac:dyDescent="0.25">
      <c r="A76" s="17"/>
      <c r="B76" s="356" t="s">
        <v>30</v>
      </c>
      <c r="C76" s="356"/>
      <c r="D76" s="356"/>
      <c r="E76" s="289">
        <v>851</v>
      </c>
      <c r="F76" s="1" t="s">
        <v>7</v>
      </c>
      <c r="G76" s="1" t="s">
        <v>64</v>
      </c>
      <c r="H76" s="1" t="s">
        <v>725</v>
      </c>
      <c r="I76" s="1" t="s">
        <v>31</v>
      </c>
      <c r="J76" s="2">
        <v>55000</v>
      </c>
      <c r="K76" s="2">
        <v>55000</v>
      </c>
      <c r="L76" s="2"/>
      <c r="M76" s="2">
        <f t="shared" ref="M76:M139" si="35">K76+L76</f>
        <v>55000</v>
      </c>
      <c r="N76" s="2">
        <v>55000</v>
      </c>
      <c r="O76" s="17"/>
      <c r="P76" s="2">
        <f t="shared" ref="P76:P139" si="36">N76+O76</f>
        <v>55000</v>
      </c>
    </row>
    <row r="77" spans="1:16" s="15" customFormat="1" x14ac:dyDescent="0.25">
      <c r="A77" s="589" t="s">
        <v>372</v>
      </c>
      <c r="B77" s="589"/>
      <c r="C77" s="365"/>
      <c r="D77" s="365"/>
      <c r="E77" s="289">
        <v>851</v>
      </c>
      <c r="F77" s="12" t="s">
        <v>7</v>
      </c>
      <c r="G77" s="12" t="s">
        <v>58</v>
      </c>
      <c r="H77" s="12"/>
      <c r="I77" s="12"/>
      <c r="J77" s="14">
        <f t="shared" ref="J77:P79" si="37">J78</f>
        <v>2558000</v>
      </c>
      <c r="K77" s="14">
        <f t="shared" si="37"/>
        <v>3185000</v>
      </c>
      <c r="L77" s="14">
        <f t="shared" si="37"/>
        <v>0</v>
      </c>
      <c r="M77" s="14">
        <f t="shared" si="37"/>
        <v>3185000</v>
      </c>
      <c r="N77" s="14">
        <f t="shared" si="37"/>
        <v>2546000</v>
      </c>
      <c r="O77" s="14">
        <f t="shared" si="37"/>
        <v>0</v>
      </c>
      <c r="P77" s="14">
        <f t="shared" si="37"/>
        <v>2546000</v>
      </c>
    </row>
    <row r="78" spans="1:16" ht="24.75" customHeight="1" x14ac:dyDescent="0.25">
      <c r="A78" s="583" t="s">
        <v>614</v>
      </c>
      <c r="B78" s="583"/>
      <c r="C78" s="356"/>
      <c r="D78" s="356"/>
      <c r="E78" s="289">
        <v>851</v>
      </c>
      <c r="F78" s="20" t="s">
        <v>7</v>
      </c>
      <c r="G78" s="20" t="s">
        <v>58</v>
      </c>
      <c r="H78" s="20" t="s">
        <v>613</v>
      </c>
      <c r="I78" s="20"/>
      <c r="J78" s="2">
        <f t="shared" si="37"/>
        <v>2558000</v>
      </c>
      <c r="K78" s="2">
        <f t="shared" si="37"/>
        <v>3185000</v>
      </c>
      <c r="L78" s="2"/>
      <c r="M78" s="2">
        <f t="shared" si="35"/>
        <v>3185000</v>
      </c>
      <c r="N78" s="2">
        <f t="shared" si="37"/>
        <v>2546000</v>
      </c>
      <c r="O78" s="17"/>
      <c r="P78" s="2">
        <f t="shared" si="36"/>
        <v>2546000</v>
      </c>
    </row>
    <row r="79" spans="1:16" ht="15.75" customHeight="1" x14ac:dyDescent="0.25">
      <c r="A79" s="356"/>
      <c r="B79" s="356" t="s">
        <v>28</v>
      </c>
      <c r="C79" s="356"/>
      <c r="D79" s="356"/>
      <c r="E79" s="289">
        <v>851</v>
      </c>
      <c r="F79" s="20" t="s">
        <v>7</v>
      </c>
      <c r="G79" s="20" t="s">
        <v>58</v>
      </c>
      <c r="H79" s="20" t="s">
        <v>613</v>
      </c>
      <c r="I79" s="1" t="s">
        <v>29</v>
      </c>
      <c r="J79" s="2">
        <f t="shared" si="37"/>
        <v>2558000</v>
      </c>
      <c r="K79" s="2">
        <f t="shared" si="37"/>
        <v>3185000</v>
      </c>
      <c r="L79" s="2"/>
      <c r="M79" s="2">
        <f t="shared" si="35"/>
        <v>3185000</v>
      </c>
      <c r="N79" s="2">
        <f t="shared" si="37"/>
        <v>2546000</v>
      </c>
      <c r="O79" s="17"/>
      <c r="P79" s="2">
        <f t="shared" si="36"/>
        <v>2546000</v>
      </c>
    </row>
    <row r="80" spans="1:16" ht="24.75" customHeight="1" x14ac:dyDescent="0.25">
      <c r="A80" s="356"/>
      <c r="B80" s="356" t="s">
        <v>30</v>
      </c>
      <c r="C80" s="356"/>
      <c r="D80" s="356"/>
      <c r="E80" s="289">
        <v>851</v>
      </c>
      <c r="F80" s="20" t="s">
        <v>7</v>
      </c>
      <c r="G80" s="20" t="s">
        <v>58</v>
      </c>
      <c r="H80" s="20" t="s">
        <v>613</v>
      </c>
      <c r="I80" s="1" t="s">
        <v>31</v>
      </c>
      <c r="J80" s="2">
        <v>2558000</v>
      </c>
      <c r="K80" s="2">
        <v>3185000</v>
      </c>
      <c r="L80" s="2"/>
      <c r="M80" s="2">
        <f t="shared" si="35"/>
        <v>3185000</v>
      </c>
      <c r="N80" s="2">
        <v>2546000</v>
      </c>
      <c r="O80" s="17"/>
      <c r="P80" s="2">
        <f t="shared" si="36"/>
        <v>2546000</v>
      </c>
    </row>
    <row r="81" spans="1:16" s="15" customFormat="1" x14ac:dyDescent="0.25">
      <c r="A81" s="589" t="s">
        <v>68</v>
      </c>
      <c r="B81" s="589"/>
      <c r="C81" s="365"/>
      <c r="D81" s="365"/>
      <c r="E81" s="289">
        <v>851</v>
      </c>
      <c r="F81" s="12" t="s">
        <v>7</v>
      </c>
      <c r="G81" s="12" t="s">
        <v>69</v>
      </c>
      <c r="H81" s="12"/>
      <c r="I81" s="12"/>
      <c r="J81" s="14">
        <f t="shared" ref="J81:P81" si="38">J82+J87</f>
        <v>273500</v>
      </c>
      <c r="K81" s="14">
        <f t="shared" si="38"/>
        <v>273500</v>
      </c>
      <c r="L81" s="14">
        <f t="shared" si="38"/>
        <v>0</v>
      </c>
      <c r="M81" s="14">
        <f t="shared" si="38"/>
        <v>273500</v>
      </c>
      <c r="N81" s="14">
        <f t="shared" si="38"/>
        <v>273500</v>
      </c>
      <c r="O81" s="14">
        <f t="shared" si="38"/>
        <v>0</v>
      </c>
      <c r="P81" s="14">
        <f t="shared" si="38"/>
        <v>273500</v>
      </c>
    </row>
    <row r="82" spans="1:16" ht="26.25" customHeight="1" x14ac:dyDescent="0.25">
      <c r="A82" s="583" t="s">
        <v>70</v>
      </c>
      <c r="B82" s="583"/>
      <c r="C82" s="356"/>
      <c r="D82" s="356"/>
      <c r="E82" s="289">
        <v>851</v>
      </c>
      <c r="F82" s="20" t="s">
        <v>7</v>
      </c>
      <c r="G82" s="20" t="s">
        <v>69</v>
      </c>
      <c r="H82" s="20" t="s">
        <v>71</v>
      </c>
      <c r="I82" s="20"/>
      <c r="J82" s="2">
        <f t="shared" ref="J82:N82" si="39">J83+J85</f>
        <v>173500</v>
      </c>
      <c r="K82" s="2">
        <f t="shared" si="39"/>
        <v>173500</v>
      </c>
      <c r="L82" s="2"/>
      <c r="M82" s="2">
        <f t="shared" si="35"/>
        <v>173500</v>
      </c>
      <c r="N82" s="2">
        <f t="shared" si="39"/>
        <v>173500</v>
      </c>
      <c r="O82" s="17"/>
      <c r="P82" s="2">
        <f t="shared" si="36"/>
        <v>173500</v>
      </c>
    </row>
    <row r="83" spans="1:16" ht="40.5" customHeight="1" x14ac:dyDescent="0.25">
      <c r="A83" s="356"/>
      <c r="B83" s="355" t="s">
        <v>22</v>
      </c>
      <c r="C83" s="356"/>
      <c r="D83" s="356"/>
      <c r="E83" s="289">
        <v>851</v>
      </c>
      <c r="F83" s="20" t="s">
        <v>7</v>
      </c>
      <c r="G83" s="20" t="s">
        <v>69</v>
      </c>
      <c r="H83" s="20" t="s">
        <v>71</v>
      </c>
      <c r="I83" s="1" t="s">
        <v>24</v>
      </c>
      <c r="J83" s="2">
        <f t="shared" ref="J83:N83" si="40">J84</f>
        <v>97615</v>
      </c>
      <c r="K83" s="2">
        <f t="shared" si="40"/>
        <v>97615</v>
      </c>
      <c r="L83" s="2"/>
      <c r="M83" s="2">
        <f t="shared" si="35"/>
        <v>97615</v>
      </c>
      <c r="N83" s="2">
        <f t="shared" si="40"/>
        <v>97615</v>
      </c>
      <c r="O83" s="17"/>
      <c r="P83" s="2">
        <f t="shared" si="36"/>
        <v>97615</v>
      </c>
    </row>
    <row r="84" spans="1:16" ht="15" customHeight="1" x14ac:dyDescent="0.25">
      <c r="A84" s="17"/>
      <c r="B84" s="355" t="s">
        <v>25</v>
      </c>
      <c r="C84" s="355"/>
      <c r="D84" s="355"/>
      <c r="E84" s="289">
        <v>851</v>
      </c>
      <c r="F84" s="20" t="s">
        <v>7</v>
      </c>
      <c r="G84" s="20" t="s">
        <v>69</v>
      </c>
      <c r="H84" s="20" t="s">
        <v>71</v>
      </c>
      <c r="I84" s="1" t="s">
        <v>26</v>
      </c>
      <c r="J84" s="2">
        <v>97615</v>
      </c>
      <c r="K84" s="2">
        <v>97615</v>
      </c>
      <c r="L84" s="2"/>
      <c r="M84" s="2">
        <f t="shared" si="35"/>
        <v>97615</v>
      </c>
      <c r="N84" s="2">
        <v>97615</v>
      </c>
      <c r="O84" s="17"/>
      <c r="P84" s="2">
        <f t="shared" si="36"/>
        <v>97615</v>
      </c>
    </row>
    <row r="85" spans="1:16" ht="12.75" customHeight="1" x14ac:dyDescent="0.25">
      <c r="A85" s="17"/>
      <c r="B85" s="356" t="s">
        <v>28</v>
      </c>
      <c r="C85" s="355"/>
      <c r="D85" s="355"/>
      <c r="E85" s="289">
        <v>851</v>
      </c>
      <c r="F85" s="20" t="s">
        <v>7</v>
      </c>
      <c r="G85" s="20" t="s">
        <v>69</v>
      </c>
      <c r="H85" s="20" t="s">
        <v>71</v>
      </c>
      <c r="I85" s="1" t="s">
        <v>29</v>
      </c>
      <c r="J85" s="2">
        <f t="shared" ref="J85:N85" si="41">J86</f>
        <v>75885</v>
      </c>
      <c r="K85" s="2">
        <f t="shared" si="41"/>
        <v>75885</v>
      </c>
      <c r="L85" s="2"/>
      <c r="M85" s="2">
        <f t="shared" si="35"/>
        <v>75885</v>
      </c>
      <c r="N85" s="2">
        <f t="shared" si="41"/>
        <v>75885</v>
      </c>
      <c r="O85" s="17"/>
      <c r="P85" s="2">
        <f t="shared" si="36"/>
        <v>75885</v>
      </c>
    </row>
    <row r="86" spans="1:16" ht="26.25" customHeight="1" x14ac:dyDescent="0.25">
      <c r="A86" s="17"/>
      <c r="B86" s="356" t="s">
        <v>30</v>
      </c>
      <c r="C86" s="356"/>
      <c r="D86" s="356"/>
      <c r="E86" s="289">
        <v>851</v>
      </c>
      <c r="F86" s="20" t="s">
        <v>7</v>
      </c>
      <c r="G86" s="20" t="s">
        <v>69</v>
      </c>
      <c r="H86" s="20" t="s">
        <v>71</v>
      </c>
      <c r="I86" s="1" t="s">
        <v>31</v>
      </c>
      <c r="J86" s="2">
        <v>75885</v>
      </c>
      <c r="K86" s="2">
        <v>75885</v>
      </c>
      <c r="L86" s="2"/>
      <c r="M86" s="2">
        <f t="shared" si="35"/>
        <v>75885</v>
      </c>
      <c r="N86" s="2">
        <v>75885</v>
      </c>
      <c r="O86" s="17"/>
      <c r="P86" s="2">
        <f t="shared" si="36"/>
        <v>75885</v>
      </c>
    </row>
    <row r="87" spans="1:16" ht="25.5" customHeight="1" x14ac:dyDescent="0.25">
      <c r="A87" s="552" t="s">
        <v>569</v>
      </c>
      <c r="B87" s="553"/>
      <c r="C87" s="356"/>
      <c r="D87" s="115"/>
      <c r="E87" s="289">
        <v>851</v>
      </c>
      <c r="F87" s="20" t="s">
        <v>7</v>
      </c>
      <c r="G87" s="20" t="s">
        <v>69</v>
      </c>
      <c r="H87" s="20" t="s">
        <v>740</v>
      </c>
      <c r="I87" s="1"/>
      <c r="J87" s="2">
        <f t="shared" ref="J87:N88" si="42">J88</f>
        <v>100000</v>
      </c>
      <c r="K87" s="2">
        <f t="shared" si="42"/>
        <v>100000</v>
      </c>
      <c r="L87" s="2"/>
      <c r="M87" s="2">
        <f t="shared" si="35"/>
        <v>100000</v>
      </c>
      <c r="N87" s="2">
        <f t="shared" si="42"/>
        <v>100000</v>
      </c>
      <c r="O87" s="17"/>
      <c r="P87" s="2">
        <f t="shared" si="36"/>
        <v>100000</v>
      </c>
    </row>
    <row r="88" spans="1:16" x14ac:dyDescent="0.25">
      <c r="A88" s="17"/>
      <c r="B88" s="356" t="s">
        <v>32</v>
      </c>
      <c r="C88" s="356"/>
      <c r="D88" s="115"/>
      <c r="E88" s="289">
        <v>851</v>
      </c>
      <c r="F88" s="20" t="s">
        <v>7</v>
      </c>
      <c r="G88" s="20" t="s">
        <v>69</v>
      </c>
      <c r="H88" s="20" t="s">
        <v>740</v>
      </c>
      <c r="I88" s="1" t="s">
        <v>33</v>
      </c>
      <c r="J88" s="2">
        <f t="shared" si="42"/>
        <v>100000</v>
      </c>
      <c r="K88" s="2">
        <f t="shared" si="42"/>
        <v>100000</v>
      </c>
      <c r="L88" s="2"/>
      <c r="M88" s="2">
        <f t="shared" si="35"/>
        <v>100000</v>
      </c>
      <c r="N88" s="2">
        <f t="shared" si="42"/>
        <v>100000</v>
      </c>
      <c r="O88" s="17"/>
      <c r="P88" s="2">
        <f t="shared" si="36"/>
        <v>100000</v>
      </c>
    </row>
    <row r="89" spans="1:16" ht="27.75" customHeight="1" x14ac:dyDescent="0.25">
      <c r="A89" s="17"/>
      <c r="B89" s="356" t="s">
        <v>376</v>
      </c>
      <c r="C89" s="356"/>
      <c r="D89" s="115"/>
      <c r="E89" s="289">
        <v>851</v>
      </c>
      <c r="F89" s="20" t="s">
        <v>7</v>
      </c>
      <c r="G89" s="20" t="s">
        <v>69</v>
      </c>
      <c r="H89" s="20" t="s">
        <v>740</v>
      </c>
      <c r="I89" s="1" t="s">
        <v>67</v>
      </c>
      <c r="J89" s="2">
        <v>100000</v>
      </c>
      <c r="K89" s="2">
        <v>100000</v>
      </c>
      <c r="L89" s="2"/>
      <c r="M89" s="2">
        <f t="shared" si="35"/>
        <v>100000</v>
      </c>
      <c r="N89" s="2">
        <v>100000</v>
      </c>
      <c r="O89" s="17"/>
      <c r="P89" s="2">
        <f t="shared" si="36"/>
        <v>100000</v>
      </c>
    </row>
    <row r="90" spans="1:16" s="15" customFormat="1" ht="13.5" customHeight="1" x14ac:dyDescent="0.25">
      <c r="A90" s="367" t="s">
        <v>72</v>
      </c>
      <c r="B90" s="365"/>
      <c r="C90" s="365"/>
      <c r="E90" s="289">
        <v>851</v>
      </c>
      <c r="F90" s="22" t="s">
        <v>64</v>
      </c>
      <c r="G90" s="22"/>
      <c r="H90" s="22"/>
      <c r="I90" s="12"/>
      <c r="J90" s="14">
        <f>J91+J95</f>
        <v>741440</v>
      </c>
      <c r="K90" s="14">
        <f>K91+K95</f>
        <v>741500</v>
      </c>
      <c r="L90" s="14">
        <f t="shared" ref="L90:P90" si="43">L91+L95</f>
        <v>0</v>
      </c>
      <c r="M90" s="14">
        <f t="shared" si="43"/>
        <v>741500</v>
      </c>
      <c r="N90" s="14">
        <f t="shared" si="43"/>
        <v>741495</v>
      </c>
      <c r="O90" s="14">
        <f t="shared" si="43"/>
        <v>0</v>
      </c>
      <c r="P90" s="14">
        <f t="shared" si="43"/>
        <v>741495</v>
      </c>
    </row>
    <row r="91" spans="1:16" s="15" customFormat="1" ht="13.5" customHeight="1" x14ac:dyDescent="0.25">
      <c r="A91" s="584" t="s">
        <v>371</v>
      </c>
      <c r="B91" s="584"/>
      <c r="C91" s="365"/>
      <c r="E91" s="289">
        <v>851</v>
      </c>
      <c r="F91" s="22" t="s">
        <v>64</v>
      </c>
      <c r="G91" s="128" t="s">
        <v>18</v>
      </c>
      <c r="H91" s="22"/>
      <c r="I91" s="12"/>
      <c r="J91" s="14">
        <f>J92</f>
        <v>41440</v>
      </c>
      <c r="K91" s="14">
        <f t="shared" ref="K91:P91" si="44">K92</f>
        <v>41500</v>
      </c>
      <c r="L91" s="14">
        <f t="shared" si="44"/>
        <v>0</v>
      </c>
      <c r="M91" s="14">
        <f t="shared" si="44"/>
        <v>41500</v>
      </c>
      <c r="N91" s="14">
        <f t="shared" si="44"/>
        <v>41495</v>
      </c>
      <c r="O91" s="14">
        <f t="shared" si="44"/>
        <v>0</v>
      </c>
      <c r="P91" s="14">
        <f t="shared" si="44"/>
        <v>41495</v>
      </c>
    </row>
    <row r="92" spans="1:16" s="15" customFormat="1" ht="13.5" customHeight="1" x14ac:dyDescent="0.25">
      <c r="A92" s="583" t="s">
        <v>585</v>
      </c>
      <c r="B92" s="583"/>
      <c r="C92" s="356"/>
      <c r="D92" s="6"/>
      <c r="E92" s="289">
        <v>851</v>
      </c>
      <c r="F92" s="20" t="s">
        <v>64</v>
      </c>
      <c r="G92" s="127" t="s">
        <v>18</v>
      </c>
      <c r="H92" s="20" t="s">
        <v>586</v>
      </c>
      <c r="I92" s="1"/>
      <c r="J92" s="2">
        <f t="shared" ref="J92:N93" si="45">J93</f>
        <v>41440</v>
      </c>
      <c r="K92" s="2">
        <f t="shared" si="45"/>
        <v>41500</v>
      </c>
      <c r="L92" s="2"/>
      <c r="M92" s="2">
        <f t="shared" si="35"/>
        <v>41500</v>
      </c>
      <c r="N92" s="2">
        <f t="shared" si="45"/>
        <v>41495</v>
      </c>
      <c r="O92" s="435"/>
      <c r="P92" s="2">
        <f t="shared" si="36"/>
        <v>41495</v>
      </c>
    </row>
    <row r="93" spans="1:16" s="15" customFormat="1" ht="15" customHeight="1" x14ac:dyDescent="0.25">
      <c r="A93" s="356"/>
      <c r="B93" s="366" t="s">
        <v>28</v>
      </c>
      <c r="C93" s="356"/>
      <c r="D93" s="356"/>
      <c r="E93" s="289">
        <v>851</v>
      </c>
      <c r="F93" s="20" t="s">
        <v>64</v>
      </c>
      <c r="G93" s="127" t="s">
        <v>18</v>
      </c>
      <c r="H93" s="20" t="s">
        <v>586</v>
      </c>
      <c r="I93" s="1" t="s">
        <v>29</v>
      </c>
      <c r="J93" s="2">
        <f t="shared" si="45"/>
        <v>41440</v>
      </c>
      <c r="K93" s="2">
        <f t="shared" si="45"/>
        <v>41500</v>
      </c>
      <c r="L93" s="2"/>
      <c r="M93" s="2">
        <f t="shared" si="35"/>
        <v>41500</v>
      </c>
      <c r="N93" s="2">
        <f t="shared" si="45"/>
        <v>41495</v>
      </c>
      <c r="O93" s="435"/>
      <c r="P93" s="2">
        <f t="shared" si="36"/>
        <v>41495</v>
      </c>
    </row>
    <row r="94" spans="1:16" s="15" customFormat="1" ht="26.25" customHeight="1" x14ac:dyDescent="0.25">
      <c r="A94" s="356"/>
      <c r="B94" s="366" t="s">
        <v>30</v>
      </c>
      <c r="C94" s="356"/>
      <c r="D94" s="356"/>
      <c r="E94" s="289">
        <v>851</v>
      </c>
      <c r="F94" s="20" t="s">
        <v>64</v>
      </c>
      <c r="G94" s="127" t="s">
        <v>18</v>
      </c>
      <c r="H94" s="20" t="s">
        <v>586</v>
      </c>
      <c r="I94" s="1" t="s">
        <v>31</v>
      </c>
      <c r="J94" s="2">
        <f>41422+18</f>
        <v>41440</v>
      </c>
      <c r="K94" s="2">
        <f>41422+18+60</f>
        <v>41500</v>
      </c>
      <c r="L94" s="2"/>
      <c r="M94" s="2">
        <f t="shared" si="35"/>
        <v>41500</v>
      </c>
      <c r="N94" s="2">
        <f>41422+18+55</f>
        <v>41495</v>
      </c>
      <c r="O94" s="435"/>
      <c r="P94" s="2">
        <f t="shared" si="36"/>
        <v>41495</v>
      </c>
    </row>
    <row r="95" spans="1:16" s="15" customFormat="1" x14ac:dyDescent="0.25">
      <c r="A95" s="367" t="s">
        <v>73</v>
      </c>
      <c r="B95" s="365"/>
      <c r="C95" s="365"/>
      <c r="E95" s="289">
        <v>851</v>
      </c>
      <c r="F95" s="22" t="s">
        <v>64</v>
      </c>
      <c r="G95" s="22" t="s">
        <v>74</v>
      </c>
      <c r="H95" s="22"/>
      <c r="I95" s="12"/>
      <c r="J95" s="14">
        <f t="shared" ref="J95:P95" si="46">J96</f>
        <v>700000</v>
      </c>
      <c r="K95" s="14">
        <f t="shared" si="46"/>
        <v>700000</v>
      </c>
      <c r="L95" s="14">
        <f t="shared" si="46"/>
        <v>0</v>
      </c>
      <c r="M95" s="14">
        <f t="shared" si="46"/>
        <v>700000</v>
      </c>
      <c r="N95" s="14">
        <f t="shared" si="46"/>
        <v>700000</v>
      </c>
      <c r="O95" s="14">
        <f t="shared" si="46"/>
        <v>0</v>
      </c>
      <c r="P95" s="14">
        <f t="shared" si="46"/>
        <v>700000</v>
      </c>
    </row>
    <row r="96" spans="1:16" ht="26.25" customHeight="1" x14ac:dyDescent="0.25">
      <c r="A96" s="583" t="s">
        <v>75</v>
      </c>
      <c r="B96" s="583"/>
      <c r="C96" s="356"/>
      <c r="D96" s="356"/>
      <c r="E96" s="289">
        <v>851</v>
      </c>
      <c r="F96" s="20" t="s">
        <v>64</v>
      </c>
      <c r="G96" s="20" t="s">
        <v>74</v>
      </c>
      <c r="H96" s="20" t="s">
        <v>76</v>
      </c>
      <c r="I96" s="1"/>
      <c r="J96" s="2">
        <f t="shared" ref="J96:N96" si="47">J98</f>
        <v>700000</v>
      </c>
      <c r="K96" s="2">
        <f t="shared" si="47"/>
        <v>700000</v>
      </c>
      <c r="L96" s="2"/>
      <c r="M96" s="2">
        <f t="shared" si="35"/>
        <v>700000</v>
      </c>
      <c r="N96" s="2">
        <f t="shared" si="47"/>
        <v>700000</v>
      </c>
      <c r="O96" s="17"/>
      <c r="P96" s="2">
        <f t="shared" si="36"/>
        <v>700000</v>
      </c>
    </row>
    <row r="97" spans="1:16" ht="25.5" customHeight="1" x14ac:dyDescent="0.25">
      <c r="A97" s="356"/>
      <c r="B97" s="356" t="s">
        <v>597</v>
      </c>
      <c r="C97" s="356"/>
      <c r="D97" s="356"/>
      <c r="E97" s="289">
        <v>851</v>
      </c>
      <c r="F97" s="20" t="s">
        <v>64</v>
      </c>
      <c r="G97" s="20" t="s">
        <v>74</v>
      </c>
      <c r="H97" s="20" t="s">
        <v>76</v>
      </c>
      <c r="I97" s="1" t="s">
        <v>77</v>
      </c>
      <c r="J97" s="2">
        <f t="shared" ref="J97:N97" si="48">J98</f>
        <v>700000</v>
      </c>
      <c r="K97" s="2">
        <f t="shared" si="48"/>
        <v>700000</v>
      </c>
      <c r="L97" s="2"/>
      <c r="M97" s="2">
        <f t="shared" si="35"/>
        <v>700000</v>
      </c>
      <c r="N97" s="2">
        <f t="shared" si="48"/>
        <v>700000</v>
      </c>
      <c r="O97" s="17"/>
      <c r="P97" s="2">
        <f t="shared" si="36"/>
        <v>700000</v>
      </c>
    </row>
    <row r="98" spans="1:16" ht="25.5" customHeight="1" x14ac:dyDescent="0.25">
      <c r="A98" s="17"/>
      <c r="B98" s="356" t="s">
        <v>78</v>
      </c>
      <c r="C98" s="356"/>
      <c r="D98" s="356"/>
      <c r="E98" s="289">
        <v>851</v>
      </c>
      <c r="F98" s="20" t="s">
        <v>64</v>
      </c>
      <c r="G98" s="20" t="s">
        <v>74</v>
      </c>
      <c r="H98" s="20" t="s">
        <v>76</v>
      </c>
      <c r="I98" s="1" t="s">
        <v>79</v>
      </c>
      <c r="J98" s="2">
        <v>700000</v>
      </c>
      <c r="K98" s="2">
        <v>700000</v>
      </c>
      <c r="L98" s="2"/>
      <c r="M98" s="2">
        <f t="shared" si="35"/>
        <v>700000</v>
      </c>
      <c r="N98" s="2">
        <v>700000</v>
      </c>
      <c r="O98" s="17"/>
      <c r="P98" s="2">
        <f t="shared" si="36"/>
        <v>700000</v>
      </c>
    </row>
    <row r="99" spans="1:16" s="11" customFormat="1" x14ac:dyDescent="0.25">
      <c r="A99" s="588" t="s">
        <v>80</v>
      </c>
      <c r="B99" s="588"/>
      <c r="C99" s="364"/>
      <c r="D99" s="364"/>
      <c r="E99" s="289">
        <v>851</v>
      </c>
      <c r="F99" s="7" t="s">
        <v>37</v>
      </c>
      <c r="G99" s="7"/>
      <c r="H99" s="7"/>
      <c r="I99" s="7"/>
      <c r="J99" s="9">
        <f>J100</f>
        <v>8214000</v>
      </c>
      <c r="K99" s="9">
        <f>K100</f>
        <v>3000000</v>
      </c>
      <c r="L99" s="9">
        <f t="shared" ref="L99:P99" si="49">L100</f>
        <v>-3000000</v>
      </c>
      <c r="M99" s="9">
        <f t="shared" si="49"/>
        <v>0</v>
      </c>
      <c r="N99" s="9">
        <f t="shared" si="49"/>
        <v>2114000</v>
      </c>
      <c r="O99" s="9">
        <f t="shared" si="49"/>
        <v>-2114000</v>
      </c>
      <c r="P99" s="9">
        <f t="shared" si="49"/>
        <v>0</v>
      </c>
    </row>
    <row r="100" spans="1:16" s="15" customFormat="1" x14ac:dyDescent="0.25">
      <c r="A100" s="589" t="s">
        <v>84</v>
      </c>
      <c r="B100" s="589"/>
      <c r="C100" s="365"/>
      <c r="D100" s="365"/>
      <c r="E100" s="289">
        <v>851</v>
      </c>
      <c r="F100" s="12" t="s">
        <v>37</v>
      </c>
      <c r="G100" s="12" t="s">
        <v>74</v>
      </c>
      <c r="H100" s="12"/>
      <c r="I100" s="12"/>
      <c r="J100" s="14">
        <f>J101</f>
        <v>8214000</v>
      </c>
      <c r="K100" s="14">
        <f t="shared" ref="K100:P100" si="50">K101</f>
        <v>3000000</v>
      </c>
      <c r="L100" s="14">
        <f t="shared" si="50"/>
        <v>-3000000</v>
      </c>
      <c r="M100" s="14">
        <f t="shared" si="50"/>
        <v>0</v>
      </c>
      <c r="N100" s="14">
        <f t="shared" si="50"/>
        <v>2114000</v>
      </c>
      <c r="O100" s="14">
        <f t="shared" si="50"/>
        <v>-2114000</v>
      </c>
      <c r="P100" s="14">
        <f t="shared" si="50"/>
        <v>0</v>
      </c>
    </row>
    <row r="101" spans="1:16" x14ac:dyDescent="0.25">
      <c r="A101" s="583" t="s">
        <v>82</v>
      </c>
      <c r="B101" s="583"/>
      <c r="C101" s="356"/>
      <c r="D101" s="356"/>
      <c r="E101" s="289">
        <v>851</v>
      </c>
      <c r="F101" s="1" t="s">
        <v>37</v>
      </c>
      <c r="G101" s="20" t="s">
        <v>74</v>
      </c>
      <c r="H101" s="1" t="s">
        <v>83</v>
      </c>
      <c r="I101" s="1"/>
      <c r="J101" s="2">
        <f t="shared" ref="J101:K101" si="51">J102+J104</f>
        <v>8214000</v>
      </c>
      <c r="K101" s="2">
        <f t="shared" si="51"/>
        <v>3000000</v>
      </c>
      <c r="L101" s="2">
        <f t="shared" ref="L101:N101" si="52">L102+L104</f>
        <v>-3000000</v>
      </c>
      <c r="M101" s="2">
        <f t="shared" si="52"/>
        <v>0</v>
      </c>
      <c r="N101" s="2">
        <f t="shared" si="52"/>
        <v>2114000</v>
      </c>
      <c r="O101" s="2">
        <f t="shared" ref="O101:P101" si="53">O102+O104</f>
        <v>-2114000</v>
      </c>
      <c r="P101" s="2">
        <f t="shared" si="53"/>
        <v>0</v>
      </c>
    </row>
    <row r="102" spans="1:16" ht="13.5" customHeight="1" x14ac:dyDescent="0.25">
      <c r="A102" s="356"/>
      <c r="B102" s="356" t="s">
        <v>28</v>
      </c>
      <c r="C102" s="355"/>
      <c r="D102" s="355"/>
      <c r="E102" s="289">
        <v>851</v>
      </c>
      <c r="F102" s="1" t="s">
        <v>37</v>
      </c>
      <c r="G102" s="20" t="s">
        <v>74</v>
      </c>
      <c r="H102" s="1" t="s">
        <v>83</v>
      </c>
      <c r="I102" s="1" t="s">
        <v>29</v>
      </c>
      <c r="J102" s="2">
        <f t="shared" ref="J102:P102" si="54">J103</f>
        <v>0</v>
      </c>
      <c r="K102" s="2">
        <f t="shared" si="54"/>
        <v>0</v>
      </c>
      <c r="L102" s="2">
        <f t="shared" si="54"/>
        <v>0</v>
      </c>
      <c r="M102" s="2">
        <f t="shared" si="54"/>
        <v>0</v>
      </c>
      <c r="N102" s="2">
        <f t="shared" si="54"/>
        <v>2114000</v>
      </c>
      <c r="O102" s="2">
        <f t="shared" si="54"/>
        <v>-2114000</v>
      </c>
      <c r="P102" s="2">
        <f t="shared" si="54"/>
        <v>0</v>
      </c>
    </row>
    <row r="103" spans="1:16" ht="24" x14ac:dyDescent="0.25">
      <c r="A103" s="356"/>
      <c r="B103" s="356" t="s">
        <v>30</v>
      </c>
      <c r="C103" s="356"/>
      <c r="D103" s="356"/>
      <c r="E103" s="289">
        <v>851</v>
      </c>
      <c r="F103" s="1" t="s">
        <v>37</v>
      </c>
      <c r="G103" s="20" t="s">
        <v>74</v>
      </c>
      <c r="H103" s="1" t="s">
        <v>83</v>
      </c>
      <c r="I103" s="1" t="s">
        <v>31</v>
      </c>
      <c r="J103" s="2"/>
      <c r="K103" s="2"/>
      <c r="L103" s="2"/>
      <c r="M103" s="2">
        <f t="shared" si="35"/>
        <v>0</v>
      </c>
      <c r="N103" s="2">
        <v>2114000</v>
      </c>
      <c r="O103" s="17">
        <v>-2114000</v>
      </c>
      <c r="P103" s="2">
        <f t="shared" si="36"/>
        <v>0</v>
      </c>
    </row>
    <row r="104" spans="1:16" ht="25.5" customHeight="1" x14ac:dyDescent="0.25">
      <c r="A104" s="356"/>
      <c r="B104" s="356" t="s">
        <v>597</v>
      </c>
      <c r="C104" s="356"/>
      <c r="D104" s="356"/>
      <c r="E104" s="289">
        <v>851</v>
      </c>
      <c r="F104" s="1" t="s">
        <v>37</v>
      </c>
      <c r="G104" s="20" t="s">
        <v>74</v>
      </c>
      <c r="H104" s="1" t="s">
        <v>83</v>
      </c>
      <c r="I104" s="1" t="s">
        <v>77</v>
      </c>
      <c r="J104" s="2">
        <f t="shared" ref="J104:P104" si="55">J105</f>
        <v>8214000</v>
      </c>
      <c r="K104" s="2">
        <f t="shared" si="55"/>
        <v>3000000</v>
      </c>
      <c r="L104" s="2">
        <f t="shared" si="55"/>
        <v>-3000000</v>
      </c>
      <c r="M104" s="2">
        <f t="shared" si="55"/>
        <v>0</v>
      </c>
      <c r="N104" s="2">
        <f t="shared" si="55"/>
        <v>0</v>
      </c>
      <c r="O104" s="2">
        <f t="shared" si="55"/>
        <v>0</v>
      </c>
      <c r="P104" s="2">
        <f t="shared" si="55"/>
        <v>0</v>
      </c>
    </row>
    <row r="105" spans="1:16" ht="25.5" customHeight="1" x14ac:dyDescent="0.25">
      <c r="A105" s="356"/>
      <c r="B105" s="356" t="s">
        <v>78</v>
      </c>
      <c r="C105" s="356"/>
      <c r="D105" s="356"/>
      <c r="E105" s="289">
        <v>851</v>
      </c>
      <c r="F105" s="1" t="s">
        <v>37</v>
      </c>
      <c r="G105" s="20" t="s">
        <v>74</v>
      </c>
      <c r="H105" s="1" t="s">
        <v>83</v>
      </c>
      <c r="I105" s="1" t="s">
        <v>79</v>
      </c>
      <c r="J105" s="2">
        <f>10245000-2030982-18</f>
        <v>8214000</v>
      </c>
      <c r="K105" s="2">
        <v>3000000</v>
      </c>
      <c r="L105" s="2">
        <v>-3000000</v>
      </c>
      <c r="M105" s="2">
        <f t="shared" si="35"/>
        <v>0</v>
      </c>
      <c r="N105" s="2"/>
      <c r="O105" s="17"/>
      <c r="P105" s="2">
        <f t="shared" si="36"/>
        <v>0</v>
      </c>
    </row>
    <row r="106" spans="1:16" x14ac:dyDescent="0.25">
      <c r="A106" s="588" t="s">
        <v>85</v>
      </c>
      <c r="B106" s="588"/>
      <c r="C106" s="364"/>
      <c r="D106" s="364"/>
      <c r="E106" s="289">
        <v>851</v>
      </c>
      <c r="F106" s="7" t="s">
        <v>86</v>
      </c>
      <c r="G106" s="7"/>
      <c r="H106" s="7"/>
      <c r="I106" s="7"/>
      <c r="J106" s="9">
        <f>J107+J129</f>
        <v>14871640</v>
      </c>
      <c r="K106" s="9">
        <f>K107+K129</f>
        <v>3063140</v>
      </c>
      <c r="L106" s="9">
        <f t="shared" ref="L106:P106" si="56">L107+L129</f>
        <v>0</v>
      </c>
      <c r="M106" s="9">
        <f t="shared" si="56"/>
        <v>3063140</v>
      </c>
      <c r="N106" s="9">
        <f t="shared" si="56"/>
        <v>3063140</v>
      </c>
      <c r="O106" s="9">
        <f t="shared" si="56"/>
        <v>0</v>
      </c>
      <c r="P106" s="9">
        <f t="shared" si="56"/>
        <v>3063140</v>
      </c>
    </row>
    <row r="107" spans="1:16" x14ac:dyDescent="0.25">
      <c r="A107" s="589" t="s">
        <v>87</v>
      </c>
      <c r="B107" s="589"/>
      <c r="C107" s="365"/>
      <c r="D107" s="365"/>
      <c r="E107" s="289">
        <v>851</v>
      </c>
      <c r="F107" s="12" t="s">
        <v>86</v>
      </c>
      <c r="G107" s="12" t="s">
        <v>18</v>
      </c>
      <c r="H107" s="12"/>
      <c r="I107" s="12"/>
      <c r="J107" s="14">
        <f>J108+J111+J114+J117+J120+J123+J126</f>
        <v>14856640</v>
      </c>
      <c r="K107" s="14">
        <f>K108+K111+K114+K117+K120+K123+K126</f>
        <v>3048140</v>
      </c>
      <c r="L107" s="14">
        <f t="shared" ref="L107:P107" si="57">L108+L111+L114+L117+L120+L123+L126</f>
        <v>0</v>
      </c>
      <c r="M107" s="14">
        <f t="shared" si="57"/>
        <v>3048140</v>
      </c>
      <c r="N107" s="14">
        <f t="shared" si="57"/>
        <v>3048140</v>
      </c>
      <c r="O107" s="14">
        <f t="shared" si="57"/>
        <v>0</v>
      </c>
      <c r="P107" s="14">
        <f t="shared" si="57"/>
        <v>3048140</v>
      </c>
    </row>
    <row r="108" spans="1:16" x14ac:dyDescent="0.25">
      <c r="A108" s="583" t="s">
        <v>93</v>
      </c>
      <c r="B108" s="583"/>
      <c r="C108" s="356"/>
      <c r="D108" s="356"/>
      <c r="E108" s="289">
        <v>851</v>
      </c>
      <c r="F108" s="1" t="s">
        <v>86</v>
      </c>
      <c r="G108" s="1" t="s">
        <v>18</v>
      </c>
      <c r="H108" s="1" t="s">
        <v>726</v>
      </c>
      <c r="I108" s="1"/>
      <c r="J108" s="2">
        <f t="shared" ref="J108:N109" si="58">J109</f>
        <v>2580900</v>
      </c>
      <c r="K108" s="2">
        <f t="shared" si="58"/>
        <v>2580900</v>
      </c>
      <c r="L108" s="2"/>
      <c r="M108" s="2">
        <f t="shared" si="35"/>
        <v>2580900</v>
      </c>
      <c r="N108" s="2">
        <f t="shared" si="58"/>
        <v>2580900</v>
      </c>
      <c r="O108" s="17"/>
      <c r="P108" s="2">
        <f t="shared" si="36"/>
        <v>2580900</v>
      </c>
    </row>
    <row r="109" spans="1:16" ht="25.5" customHeight="1" x14ac:dyDescent="0.25">
      <c r="A109" s="365"/>
      <c r="B109" s="286" t="s">
        <v>95</v>
      </c>
      <c r="C109" s="365"/>
      <c r="D109" s="365"/>
      <c r="E109" s="289">
        <v>851</v>
      </c>
      <c r="F109" s="1" t="s">
        <v>86</v>
      </c>
      <c r="G109" s="1" t="s">
        <v>18</v>
      </c>
      <c r="H109" s="1" t="s">
        <v>726</v>
      </c>
      <c r="I109" s="1" t="s">
        <v>90</v>
      </c>
      <c r="J109" s="2">
        <f t="shared" si="58"/>
        <v>2580900</v>
      </c>
      <c r="K109" s="2">
        <f t="shared" si="58"/>
        <v>2580900</v>
      </c>
      <c r="L109" s="2"/>
      <c r="M109" s="2">
        <f t="shared" si="35"/>
        <v>2580900</v>
      </c>
      <c r="N109" s="2">
        <f t="shared" si="58"/>
        <v>2580900</v>
      </c>
      <c r="O109" s="17"/>
      <c r="P109" s="2">
        <f t="shared" si="36"/>
        <v>2580900</v>
      </c>
    </row>
    <row r="110" spans="1:16" ht="37.5" customHeight="1" x14ac:dyDescent="0.25">
      <c r="A110" s="365"/>
      <c r="B110" s="356" t="s">
        <v>91</v>
      </c>
      <c r="C110" s="365"/>
      <c r="D110" s="365"/>
      <c r="E110" s="289">
        <v>851</v>
      </c>
      <c r="F110" s="1" t="s">
        <v>86</v>
      </c>
      <c r="G110" s="1" t="s">
        <v>18</v>
      </c>
      <c r="H110" s="1" t="s">
        <v>726</v>
      </c>
      <c r="I110" s="1" t="s">
        <v>92</v>
      </c>
      <c r="J110" s="2">
        <f>636584+1944239+77</f>
        <v>2580900</v>
      </c>
      <c r="K110" s="2">
        <f t="shared" ref="K110:N110" si="59">636584+1944239+77</f>
        <v>2580900</v>
      </c>
      <c r="L110" s="2"/>
      <c r="M110" s="2">
        <f t="shared" si="35"/>
        <v>2580900</v>
      </c>
      <c r="N110" s="2">
        <f t="shared" si="59"/>
        <v>2580900</v>
      </c>
      <c r="O110" s="17"/>
      <c r="P110" s="2">
        <f t="shared" si="36"/>
        <v>2580900</v>
      </c>
    </row>
    <row r="111" spans="1:16" ht="12" customHeight="1" x14ac:dyDescent="0.25">
      <c r="A111" s="552" t="s">
        <v>606</v>
      </c>
      <c r="B111" s="553"/>
      <c r="C111" s="356"/>
      <c r="D111" s="356"/>
      <c r="E111" s="289">
        <v>851</v>
      </c>
      <c r="F111" s="1" t="s">
        <v>86</v>
      </c>
      <c r="G111" s="1" t="s">
        <v>18</v>
      </c>
      <c r="H111" s="1" t="s">
        <v>727</v>
      </c>
      <c r="I111" s="1"/>
      <c r="J111" s="2">
        <f t="shared" ref="J111:N112" si="60">J112</f>
        <v>157900</v>
      </c>
      <c r="K111" s="2">
        <f t="shared" si="60"/>
        <v>157700</v>
      </c>
      <c r="L111" s="2"/>
      <c r="M111" s="2">
        <f t="shared" si="35"/>
        <v>157700</v>
      </c>
      <c r="N111" s="2">
        <f t="shared" si="60"/>
        <v>157700</v>
      </c>
      <c r="O111" s="17"/>
      <c r="P111" s="2">
        <f t="shared" si="36"/>
        <v>157700</v>
      </c>
    </row>
    <row r="112" spans="1:16" ht="27" customHeight="1" x14ac:dyDescent="0.25">
      <c r="A112" s="356"/>
      <c r="B112" s="286" t="s">
        <v>95</v>
      </c>
      <c r="C112" s="356"/>
      <c r="D112" s="356"/>
      <c r="E112" s="289">
        <v>851</v>
      </c>
      <c r="F112" s="1" t="s">
        <v>86</v>
      </c>
      <c r="G112" s="1" t="s">
        <v>18</v>
      </c>
      <c r="H112" s="1" t="s">
        <v>727</v>
      </c>
      <c r="I112" s="17">
        <v>600</v>
      </c>
      <c r="J112" s="2">
        <f t="shared" si="60"/>
        <v>157900</v>
      </c>
      <c r="K112" s="2">
        <f t="shared" si="60"/>
        <v>157700</v>
      </c>
      <c r="L112" s="2"/>
      <c r="M112" s="2">
        <f t="shared" si="35"/>
        <v>157700</v>
      </c>
      <c r="N112" s="2">
        <f t="shared" si="60"/>
        <v>157700</v>
      </c>
      <c r="O112" s="17"/>
      <c r="P112" s="2">
        <f t="shared" si="36"/>
        <v>157700</v>
      </c>
    </row>
    <row r="113" spans="1:16" ht="39" customHeight="1" x14ac:dyDescent="0.25">
      <c r="A113" s="356"/>
      <c r="B113" s="356" t="s">
        <v>91</v>
      </c>
      <c r="C113" s="356"/>
      <c r="D113" s="356"/>
      <c r="E113" s="289">
        <v>851</v>
      </c>
      <c r="F113" s="1" t="s">
        <v>86</v>
      </c>
      <c r="G113" s="1" t="s">
        <v>18</v>
      </c>
      <c r="H113" s="1" t="s">
        <v>727</v>
      </c>
      <c r="I113" s="17">
        <v>611</v>
      </c>
      <c r="J113" s="2">
        <f>157664+36+200</f>
        <v>157900</v>
      </c>
      <c r="K113" s="2">
        <f t="shared" ref="K113:N113" si="61">157664+36</f>
        <v>157700</v>
      </c>
      <c r="L113" s="2"/>
      <c r="M113" s="2">
        <f t="shared" si="35"/>
        <v>157700</v>
      </c>
      <c r="N113" s="2">
        <f t="shared" si="61"/>
        <v>157700</v>
      </c>
      <c r="O113" s="17"/>
      <c r="P113" s="2">
        <f t="shared" si="36"/>
        <v>157700</v>
      </c>
    </row>
    <row r="114" spans="1:16" ht="38.25" hidden="1" customHeight="1" x14ac:dyDescent="0.25">
      <c r="A114" s="583" t="s">
        <v>608</v>
      </c>
      <c r="B114" s="583"/>
      <c r="C114" s="356"/>
      <c r="D114" s="356"/>
      <c r="E114" s="289">
        <v>851</v>
      </c>
      <c r="F114" s="1" t="s">
        <v>86</v>
      </c>
      <c r="G114" s="1" t="s">
        <v>18</v>
      </c>
      <c r="H114" s="1" t="s">
        <v>728</v>
      </c>
      <c r="I114" s="17"/>
      <c r="J114" s="2">
        <f t="shared" ref="J114:N115" si="62">J115</f>
        <v>8947680</v>
      </c>
      <c r="K114" s="2">
        <f t="shared" si="62"/>
        <v>0</v>
      </c>
      <c r="L114" s="2"/>
      <c r="M114" s="2">
        <f t="shared" si="35"/>
        <v>0</v>
      </c>
      <c r="N114" s="2">
        <f t="shared" si="62"/>
        <v>0</v>
      </c>
      <c r="O114" s="17"/>
      <c r="P114" s="2">
        <f t="shared" si="36"/>
        <v>0</v>
      </c>
    </row>
    <row r="115" spans="1:16" ht="24" hidden="1" customHeight="1" x14ac:dyDescent="0.25">
      <c r="A115" s="356"/>
      <c r="B115" s="286" t="s">
        <v>95</v>
      </c>
      <c r="C115" s="356"/>
      <c r="D115" s="356"/>
      <c r="E115" s="289">
        <v>851</v>
      </c>
      <c r="F115" s="1" t="s">
        <v>86</v>
      </c>
      <c r="G115" s="1" t="s">
        <v>18</v>
      </c>
      <c r="H115" s="1" t="s">
        <v>728</v>
      </c>
      <c r="I115" s="17">
        <v>600</v>
      </c>
      <c r="J115" s="2">
        <f t="shared" si="62"/>
        <v>8947680</v>
      </c>
      <c r="K115" s="2">
        <f t="shared" si="62"/>
        <v>0</v>
      </c>
      <c r="L115" s="2"/>
      <c r="M115" s="2">
        <f t="shared" si="35"/>
        <v>0</v>
      </c>
      <c r="N115" s="2">
        <f t="shared" si="62"/>
        <v>0</v>
      </c>
      <c r="O115" s="17"/>
      <c r="P115" s="2">
        <f t="shared" si="36"/>
        <v>0</v>
      </c>
    </row>
    <row r="116" spans="1:16" ht="40.5" hidden="1" customHeight="1" x14ac:dyDescent="0.25">
      <c r="A116" s="356"/>
      <c r="B116" s="356" t="s">
        <v>91</v>
      </c>
      <c r="C116" s="356"/>
      <c r="D116" s="356"/>
      <c r="E116" s="289">
        <v>851</v>
      </c>
      <c r="F116" s="1" t="s">
        <v>86</v>
      </c>
      <c r="G116" s="1" t="s">
        <v>18</v>
      </c>
      <c r="H116" s="1" t="s">
        <v>728</v>
      </c>
      <c r="I116" s="17">
        <v>611</v>
      </c>
      <c r="J116" s="2">
        <f>22260+28620+8896800</f>
        <v>8947680</v>
      </c>
      <c r="K116" s="2"/>
      <c r="L116" s="2"/>
      <c r="M116" s="2">
        <f t="shared" si="35"/>
        <v>0</v>
      </c>
      <c r="N116" s="2"/>
      <c r="O116" s="17"/>
      <c r="P116" s="2">
        <f t="shared" si="36"/>
        <v>0</v>
      </c>
    </row>
    <row r="117" spans="1:16" ht="38.25" hidden="1" customHeight="1" x14ac:dyDescent="0.25">
      <c r="A117" s="583" t="s">
        <v>609</v>
      </c>
      <c r="B117" s="583"/>
      <c r="C117" s="356"/>
      <c r="D117" s="356"/>
      <c r="E117" s="289">
        <v>851</v>
      </c>
      <c r="F117" s="1" t="s">
        <v>86</v>
      </c>
      <c r="G117" s="1" t="s">
        <v>18</v>
      </c>
      <c r="H117" s="1" t="s">
        <v>729</v>
      </c>
      <c r="I117" s="17"/>
      <c r="J117" s="2">
        <f t="shared" ref="J117:N118" si="63">J118</f>
        <v>2860620</v>
      </c>
      <c r="K117" s="2">
        <f t="shared" si="63"/>
        <v>0</v>
      </c>
      <c r="L117" s="2"/>
      <c r="M117" s="2">
        <f t="shared" si="35"/>
        <v>0</v>
      </c>
      <c r="N117" s="2">
        <f t="shared" si="63"/>
        <v>0</v>
      </c>
      <c r="O117" s="17"/>
      <c r="P117" s="2">
        <f t="shared" si="36"/>
        <v>0</v>
      </c>
    </row>
    <row r="118" spans="1:16" ht="24.75" hidden="1" customHeight="1" x14ac:dyDescent="0.25">
      <c r="A118" s="356"/>
      <c r="B118" s="286" t="s">
        <v>95</v>
      </c>
      <c r="C118" s="356"/>
      <c r="D118" s="356"/>
      <c r="E118" s="289">
        <v>851</v>
      </c>
      <c r="F118" s="1" t="s">
        <v>86</v>
      </c>
      <c r="G118" s="1" t="s">
        <v>18</v>
      </c>
      <c r="H118" s="1" t="s">
        <v>729</v>
      </c>
      <c r="I118" s="17">
        <v>600</v>
      </c>
      <c r="J118" s="2">
        <f t="shared" si="63"/>
        <v>2860620</v>
      </c>
      <c r="K118" s="2">
        <f t="shared" si="63"/>
        <v>0</v>
      </c>
      <c r="L118" s="2"/>
      <c r="M118" s="2">
        <f t="shared" si="35"/>
        <v>0</v>
      </c>
      <c r="N118" s="2">
        <f t="shared" si="63"/>
        <v>0</v>
      </c>
      <c r="O118" s="17"/>
      <c r="P118" s="2">
        <f t="shared" si="36"/>
        <v>0</v>
      </c>
    </row>
    <row r="119" spans="1:16" ht="38.25" hidden="1" customHeight="1" x14ac:dyDescent="0.25">
      <c r="A119" s="356"/>
      <c r="B119" s="356" t="s">
        <v>91</v>
      </c>
      <c r="C119" s="356"/>
      <c r="D119" s="356"/>
      <c r="E119" s="289">
        <v>851</v>
      </c>
      <c r="F119" s="1" t="s">
        <v>86</v>
      </c>
      <c r="G119" s="1" t="s">
        <v>18</v>
      </c>
      <c r="H119" s="1" t="s">
        <v>729</v>
      </c>
      <c r="I119" s="17">
        <v>611</v>
      </c>
      <c r="J119" s="2">
        <f>2816100+44520</f>
        <v>2860620</v>
      </c>
      <c r="K119" s="2">
        <v>0</v>
      </c>
      <c r="L119" s="2"/>
      <c r="M119" s="2">
        <f t="shared" si="35"/>
        <v>0</v>
      </c>
      <c r="N119" s="2">
        <v>0</v>
      </c>
      <c r="O119" s="17"/>
      <c r="P119" s="2">
        <f t="shared" si="36"/>
        <v>0</v>
      </c>
    </row>
    <row r="120" spans="1:16" ht="48.75" customHeight="1" x14ac:dyDescent="0.25">
      <c r="A120" s="583" t="s">
        <v>88</v>
      </c>
      <c r="B120" s="583"/>
      <c r="C120" s="356"/>
      <c r="D120" s="356"/>
      <c r="E120" s="289">
        <v>851</v>
      </c>
      <c r="F120" s="1" t="s">
        <v>86</v>
      </c>
      <c r="G120" s="1" t="s">
        <v>18</v>
      </c>
      <c r="H120" s="1" t="s">
        <v>730</v>
      </c>
      <c r="I120" s="1"/>
      <c r="J120" s="2">
        <f t="shared" ref="J120:N121" si="64">J121</f>
        <v>9540</v>
      </c>
      <c r="K120" s="2">
        <f t="shared" si="64"/>
        <v>9540</v>
      </c>
      <c r="L120" s="2"/>
      <c r="M120" s="2">
        <f t="shared" si="35"/>
        <v>9540</v>
      </c>
      <c r="N120" s="2">
        <f t="shared" si="64"/>
        <v>9540</v>
      </c>
      <c r="O120" s="17"/>
      <c r="P120" s="2">
        <f t="shared" si="36"/>
        <v>9540</v>
      </c>
    </row>
    <row r="121" spans="1:16" ht="24" customHeight="1" x14ac:dyDescent="0.25">
      <c r="A121" s="356"/>
      <c r="B121" s="286" t="s">
        <v>95</v>
      </c>
      <c r="C121" s="356"/>
      <c r="D121" s="356"/>
      <c r="E121" s="289">
        <v>851</v>
      </c>
      <c r="F121" s="1" t="s">
        <v>86</v>
      </c>
      <c r="G121" s="1" t="s">
        <v>18</v>
      </c>
      <c r="H121" s="1" t="s">
        <v>730</v>
      </c>
      <c r="I121" s="1" t="s">
        <v>90</v>
      </c>
      <c r="J121" s="2">
        <f t="shared" si="64"/>
        <v>9540</v>
      </c>
      <c r="K121" s="2">
        <f t="shared" si="64"/>
        <v>9540</v>
      </c>
      <c r="L121" s="2"/>
      <c r="M121" s="2">
        <f t="shared" si="35"/>
        <v>9540</v>
      </c>
      <c r="N121" s="2">
        <f t="shared" si="64"/>
        <v>9540</v>
      </c>
      <c r="O121" s="17"/>
      <c r="P121" s="2">
        <f t="shared" si="36"/>
        <v>9540</v>
      </c>
    </row>
    <row r="122" spans="1:16" ht="38.25" customHeight="1" x14ac:dyDescent="0.25">
      <c r="A122" s="356"/>
      <c r="B122" s="356" t="s">
        <v>91</v>
      </c>
      <c r="C122" s="356"/>
      <c r="D122" s="356"/>
      <c r="E122" s="289">
        <v>851</v>
      </c>
      <c r="F122" s="1" t="s">
        <v>86</v>
      </c>
      <c r="G122" s="1" t="s">
        <v>18</v>
      </c>
      <c r="H122" s="1" t="s">
        <v>730</v>
      </c>
      <c r="I122" s="1" t="s">
        <v>92</v>
      </c>
      <c r="J122" s="2">
        <v>9540</v>
      </c>
      <c r="K122" s="2">
        <v>9540</v>
      </c>
      <c r="L122" s="2"/>
      <c r="M122" s="2">
        <f t="shared" si="35"/>
        <v>9540</v>
      </c>
      <c r="N122" s="2">
        <v>9540</v>
      </c>
      <c r="O122" s="17"/>
      <c r="P122" s="2">
        <f t="shared" si="36"/>
        <v>9540</v>
      </c>
    </row>
    <row r="123" spans="1:16" ht="25.5" customHeight="1" x14ac:dyDescent="0.25">
      <c r="A123" s="583" t="s">
        <v>98</v>
      </c>
      <c r="B123" s="583"/>
      <c r="C123" s="356"/>
      <c r="D123" s="356"/>
      <c r="E123" s="289">
        <v>851</v>
      </c>
      <c r="F123" s="1" t="s">
        <v>86</v>
      </c>
      <c r="G123" s="1" t="s">
        <v>18</v>
      </c>
      <c r="H123" s="1" t="s">
        <v>731</v>
      </c>
      <c r="I123" s="1"/>
      <c r="J123" s="2">
        <f t="shared" ref="J123:N124" si="65">J124</f>
        <v>100000</v>
      </c>
      <c r="K123" s="2">
        <f t="shared" si="65"/>
        <v>100000</v>
      </c>
      <c r="L123" s="2"/>
      <c r="M123" s="2">
        <f t="shared" si="35"/>
        <v>100000</v>
      </c>
      <c r="N123" s="2">
        <f t="shared" si="65"/>
        <v>100000</v>
      </c>
      <c r="O123" s="17"/>
      <c r="P123" s="2">
        <f t="shared" si="36"/>
        <v>100000</v>
      </c>
    </row>
    <row r="124" spans="1:16" ht="15" customHeight="1" x14ac:dyDescent="0.25">
      <c r="A124" s="17"/>
      <c r="B124" s="356" t="s">
        <v>28</v>
      </c>
      <c r="C124" s="355"/>
      <c r="D124" s="355"/>
      <c r="E124" s="289">
        <v>851</v>
      </c>
      <c r="F124" s="1" t="s">
        <v>86</v>
      </c>
      <c r="G124" s="1" t="s">
        <v>18</v>
      </c>
      <c r="H124" s="1" t="s">
        <v>731</v>
      </c>
      <c r="I124" s="1" t="s">
        <v>29</v>
      </c>
      <c r="J124" s="2">
        <f t="shared" si="65"/>
        <v>100000</v>
      </c>
      <c r="K124" s="2">
        <f t="shared" si="65"/>
        <v>100000</v>
      </c>
      <c r="L124" s="2"/>
      <c r="M124" s="2">
        <f t="shared" si="35"/>
        <v>100000</v>
      </c>
      <c r="N124" s="2">
        <f t="shared" si="65"/>
        <v>100000</v>
      </c>
      <c r="O124" s="17"/>
      <c r="P124" s="2">
        <f t="shared" si="36"/>
        <v>100000</v>
      </c>
    </row>
    <row r="125" spans="1:16" ht="24" customHeight="1" x14ac:dyDescent="0.25">
      <c r="A125" s="17"/>
      <c r="B125" s="356" t="s">
        <v>30</v>
      </c>
      <c r="C125" s="356"/>
      <c r="D125" s="356"/>
      <c r="E125" s="289">
        <v>851</v>
      </c>
      <c r="F125" s="1" t="s">
        <v>86</v>
      </c>
      <c r="G125" s="1" t="s">
        <v>18</v>
      </c>
      <c r="H125" s="1" t="s">
        <v>731</v>
      </c>
      <c r="I125" s="1" t="s">
        <v>31</v>
      </c>
      <c r="J125" s="2">
        <v>100000</v>
      </c>
      <c r="K125" s="2">
        <v>100000</v>
      </c>
      <c r="L125" s="2"/>
      <c r="M125" s="2">
        <f t="shared" si="35"/>
        <v>100000</v>
      </c>
      <c r="N125" s="2">
        <v>100000</v>
      </c>
      <c r="O125" s="17"/>
      <c r="P125" s="2">
        <f t="shared" si="36"/>
        <v>100000</v>
      </c>
    </row>
    <row r="126" spans="1:16" x14ac:dyDescent="0.25">
      <c r="A126" s="583" t="s">
        <v>100</v>
      </c>
      <c r="B126" s="583"/>
      <c r="C126" s="356"/>
      <c r="D126" s="356"/>
      <c r="E126" s="289">
        <v>851</v>
      </c>
      <c r="F126" s="1" t="s">
        <v>86</v>
      </c>
      <c r="G126" s="1" t="s">
        <v>18</v>
      </c>
      <c r="H126" s="1" t="s">
        <v>732</v>
      </c>
      <c r="I126" s="1"/>
      <c r="J126" s="2">
        <f>J127</f>
        <v>200000</v>
      </c>
      <c r="K126" s="2">
        <f>K127</f>
        <v>200000</v>
      </c>
      <c r="L126" s="2"/>
      <c r="M126" s="2">
        <f t="shared" si="35"/>
        <v>200000</v>
      </c>
      <c r="N126" s="2">
        <f>N127</f>
        <v>200000</v>
      </c>
      <c r="O126" s="17"/>
      <c r="P126" s="2">
        <f t="shared" si="36"/>
        <v>200000</v>
      </c>
    </row>
    <row r="127" spans="1:16" ht="15" customHeight="1" x14ac:dyDescent="0.25">
      <c r="A127" s="17"/>
      <c r="B127" s="356" t="s">
        <v>28</v>
      </c>
      <c r="C127" s="355"/>
      <c r="D127" s="355"/>
      <c r="E127" s="289">
        <v>851</v>
      </c>
      <c r="F127" s="1" t="s">
        <v>86</v>
      </c>
      <c r="G127" s="1" t="s">
        <v>18</v>
      </c>
      <c r="H127" s="1" t="s">
        <v>732</v>
      </c>
      <c r="I127" s="1" t="s">
        <v>29</v>
      </c>
      <c r="J127" s="2">
        <f t="shared" ref="J127:N127" si="66">J128</f>
        <v>200000</v>
      </c>
      <c r="K127" s="2">
        <f t="shared" si="66"/>
        <v>200000</v>
      </c>
      <c r="L127" s="2"/>
      <c r="M127" s="2">
        <f t="shared" si="35"/>
        <v>200000</v>
      </c>
      <c r="N127" s="2">
        <f t="shared" si="66"/>
        <v>200000</v>
      </c>
      <c r="O127" s="17"/>
      <c r="P127" s="2">
        <f t="shared" si="36"/>
        <v>200000</v>
      </c>
    </row>
    <row r="128" spans="1:16" ht="24.75" customHeight="1" x14ac:dyDescent="0.25">
      <c r="A128" s="17"/>
      <c r="B128" s="356" t="s">
        <v>30</v>
      </c>
      <c r="C128" s="356"/>
      <c r="D128" s="356"/>
      <c r="E128" s="289">
        <v>851</v>
      </c>
      <c r="F128" s="1" t="s">
        <v>86</v>
      </c>
      <c r="G128" s="1" t="s">
        <v>18</v>
      </c>
      <c r="H128" s="1" t="s">
        <v>732</v>
      </c>
      <c r="I128" s="1" t="s">
        <v>31</v>
      </c>
      <c r="J128" s="2">
        <v>200000</v>
      </c>
      <c r="K128" s="2">
        <v>200000</v>
      </c>
      <c r="L128" s="2"/>
      <c r="M128" s="2">
        <f t="shared" si="35"/>
        <v>200000</v>
      </c>
      <c r="N128" s="2">
        <v>200000</v>
      </c>
      <c r="O128" s="17"/>
      <c r="P128" s="2">
        <f t="shared" si="36"/>
        <v>200000</v>
      </c>
    </row>
    <row r="129" spans="1:16" ht="15.75" customHeight="1" x14ac:dyDescent="0.25">
      <c r="A129" s="589" t="s">
        <v>101</v>
      </c>
      <c r="B129" s="589"/>
      <c r="C129" s="365"/>
      <c r="D129" s="365"/>
      <c r="E129" s="289">
        <v>851</v>
      </c>
      <c r="F129" s="12" t="s">
        <v>86</v>
      </c>
      <c r="G129" s="12" t="s">
        <v>7</v>
      </c>
      <c r="H129" s="12"/>
      <c r="I129" s="12"/>
      <c r="J129" s="25">
        <f t="shared" ref="J129:P131" si="67">J130</f>
        <v>15000</v>
      </c>
      <c r="K129" s="25">
        <f t="shared" si="67"/>
        <v>15000</v>
      </c>
      <c r="L129" s="25">
        <f t="shared" si="67"/>
        <v>0</v>
      </c>
      <c r="M129" s="25">
        <f t="shared" si="67"/>
        <v>15000</v>
      </c>
      <c r="N129" s="25">
        <f t="shared" si="67"/>
        <v>15000</v>
      </c>
      <c r="O129" s="25">
        <f t="shared" si="67"/>
        <v>0</v>
      </c>
      <c r="P129" s="25">
        <f t="shared" si="67"/>
        <v>15000</v>
      </c>
    </row>
    <row r="130" spans="1:16" x14ac:dyDescent="0.25">
      <c r="A130" s="583" t="s">
        <v>102</v>
      </c>
      <c r="B130" s="583"/>
      <c r="C130" s="356"/>
      <c r="D130" s="356"/>
      <c r="E130" s="289">
        <v>851</v>
      </c>
      <c r="F130" s="1" t="s">
        <v>86</v>
      </c>
      <c r="G130" s="1" t="s">
        <v>7</v>
      </c>
      <c r="H130" s="1" t="s">
        <v>733</v>
      </c>
      <c r="I130" s="1"/>
      <c r="J130" s="2">
        <f t="shared" si="67"/>
        <v>15000</v>
      </c>
      <c r="K130" s="2">
        <f t="shared" si="67"/>
        <v>15000</v>
      </c>
      <c r="L130" s="2"/>
      <c r="M130" s="2">
        <f t="shared" si="35"/>
        <v>15000</v>
      </c>
      <c r="N130" s="2">
        <f t="shared" si="67"/>
        <v>15000</v>
      </c>
      <c r="O130" s="17"/>
      <c r="P130" s="2">
        <f t="shared" si="36"/>
        <v>15000</v>
      </c>
    </row>
    <row r="131" spans="1:16" ht="11.25" customHeight="1" x14ac:dyDescent="0.25">
      <c r="A131" s="17"/>
      <c r="B131" s="356" t="s">
        <v>28</v>
      </c>
      <c r="C131" s="355"/>
      <c r="D131" s="355"/>
      <c r="E131" s="289">
        <v>851</v>
      </c>
      <c r="F131" s="1" t="s">
        <v>86</v>
      </c>
      <c r="G131" s="1" t="s">
        <v>7</v>
      </c>
      <c r="H131" s="1" t="s">
        <v>733</v>
      </c>
      <c r="I131" s="1" t="s">
        <v>29</v>
      </c>
      <c r="J131" s="2">
        <f t="shared" si="67"/>
        <v>15000</v>
      </c>
      <c r="K131" s="2">
        <f t="shared" si="67"/>
        <v>15000</v>
      </c>
      <c r="L131" s="2"/>
      <c r="M131" s="2">
        <f t="shared" si="35"/>
        <v>15000</v>
      </c>
      <c r="N131" s="2">
        <f t="shared" si="67"/>
        <v>15000</v>
      </c>
      <c r="O131" s="17"/>
      <c r="P131" s="2">
        <f t="shared" si="36"/>
        <v>15000</v>
      </c>
    </row>
    <row r="132" spans="1:16" ht="23.25" customHeight="1" x14ac:dyDescent="0.25">
      <c r="A132" s="17"/>
      <c r="B132" s="356" t="s">
        <v>30</v>
      </c>
      <c r="C132" s="356"/>
      <c r="D132" s="356"/>
      <c r="E132" s="289">
        <v>851</v>
      </c>
      <c r="F132" s="1" t="s">
        <v>86</v>
      </c>
      <c r="G132" s="1" t="s">
        <v>7</v>
      </c>
      <c r="H132" s="1" t="s">
        <v>733</v>
      </c>
      <c r="I132" s="1" t="s">
        <v>31</v>
      </c>
      <c r="J132" s="2">
        <v>15000</v>
      </c>
      <c r="K132" s="2">
        <v>15000</v>
      </c>
      <c r="L132" s="2"/>
      <c r="M132" s="2">
        <f t="shared" si="35"/>
        <v>15000</v>
      </c>
      <c r="N132" s="2">
        <v>15000</v>
      </c>
      <c r="O132" s="17"/>
      <c r="P132" s="2">
        <f t="shared" si="36"/>
        <v>15000</v>
      </c>
    </row>
    <row r="133" spans="1:16" x14ac:dyDescent="0.25">
      <c r="A133" s="588" t="s">
        <v>104</v>
      </c>
      <c r="B133" s="588"/>
      <c r="C133" s="364"/>
      <c r="D133" s="364"/>
      <c r="E133" s="289">
        <v>851</v>
      </c>
      <c r="F133" s="7" t="s">
        <v>0</v>
      </c>
      <c r="G133" s="7"/>
      <c r="H133" s="7"/>
      <c r="I133" s="7"/>
      <c r="J133" s="9">
        <f>J134+J138+J142+J146</f>
        <v>11451235</v>
      </c>
      <c r="K133" s="9">
        <f>K134+K138+K142+K146</f>
        <v>11261460</v>
      </c>
      <c r="L133" s="9">
        <f t="shared" ref="L133:P133" si="68">L134+L138+L142+L146</f>
        <v>0</v>
      </c>
      <c r="M133" s="9">
        <f t="shared" si="68"/>
        <v>11261460</v>
      </c>
      <c r="N133" s="9">
        <f t="shared" si="68"/>
        <v>11261460</v>
      </c>
      <c r="O133" s="9">
        <f t="shared" si="68"/>
        <v>0</v>
      </c>
      <c r="P133" s="9">
        <f t="shared" si="68"/>
        <v>11261460</v>
      </c>
    </row>
    <row r="134" spans="1:16" x14ac:dyDescent="0.25">
      <c r="A134" s="589" t="s">
        <v>105</v>
      </c>
      <c r="B134" s="589"/>
      <c r="C134" s="365"/>
      <c r="D134" s="365"/>
      <c r="E134" s="289">
        <v>851</v>
      </c>
      <c r="F134" s="12" t="s">
        <v>0</v>
      </c>
      <c r="G134" s="12" t="s">
        <v>18</v>
      </c>
      <c r="H134" s="12"/>
      <c r="I134" s="12"/>
      <c r="J134" s="14">
        <f t="shared" ref="J134:P136" si="69">J135</f>
        <v>2587000</v>
      </c>
      <c r="K134" s="14">
        <f t="shared" si="69"/>
        <v>2587000</v>
      </c>
      <c r="L134" s="14">
        <f t="shared" si="69"/>
        <v>0</v>
      </c>
      <c r="M134" s="14">
        <f t="shared" si="69"/>
        <v>2587000</v>
      </c>
      <c r="N134" s="14">
        <f t="shared" si="69"/>
        <v>2587000</v>
      </c>
      <c r="O134" s="14">
        <f t="shared" si="69"/>
        <v>0</v>
      </c>
      <c r="P134" s="14">
        <f t="shared" si="69"/>
        <v>2587000</v>
      </c>
    </row>
    <row r="135" spans="1:16" ht="36.75" customHeight="1" x14ac:dyDescent="0.25">
      <c r="A135" s="583" t="s">
        <v>106</v>
      </c>
      <c r="B135" s="583"/>
      <c r="C135" s="356"/>
      <c r="D135" s="356"/>
      <c r="E135" s="289">
        <v>851</v>
      </c>
      <c r="F135" s="1" t="s">
        <v>0</v>
      </c>
      <c r="G135" s="1" t="s">
        <v>18</v>
      </c>
      <c r="H135" s="1" t="s">
        <v>736</v>
      </c>
      <c r="I135" s="1"/>
      <c r="J135" s="2">
        <f t="shared" si="69"/>
        <v>2587000</v>
      </c>
      <c r="K135" s="2">
        <f t="shared" si="69"/>
        <v>2587000</v>
      </c>
      <c r="L135" s="2"/>
      <c r="M135" s="2">
        <f t="shared" si="35"/>
        <v>2587000</v>
      </c>
      <c r="N135" s="2">
        <f t="shared" si="69"/>
        <v>2587000</v>
      </c>
      <c r="O135" s="17"/>
      <c r="P135" s="2">
        <f t="shared" si="36"/>
        <v>2587000</v>
      </c>
    </row>
    <row r="136" spans="1:16" ht="14.25" customHeight="1" x14ac:dyDescent="0.25">
      <c r="A136" s="315"/>
      <c r="B136" s="355" t="s">
        <v>108</v>
      </c>
      <c r="C136" s="355"/>
      <c r="D136" s="355"/>
      <c r="E136" s="289">
        <v>851</v>
      </c>
      <c r="F136" s="1" t="s">
        <v>0</v>
      </c>
      <c r="G136" s="1" t="s">
        <v>18</v>
      </c>
      <c r="H136" s="1" t="s">
        <v>736</v>
      </c>
      <c r="I136" s="1" t="s">
        <v>109</v>
      </c>
      <c r="J136" s="2">
        <f t="shared" si="69"/>
        <v>2587000</v>
      </c>
      <c r="K136" s="2">
        <f t="shared" si="69"/>
        <v>2587000</v>
      </c>
      <c r="L136" s="2"/>
      <c r="M136" s="2">
        <f t="shared" si="35"/>
        <v>2587000</v>
      </c>
      <c r="N136" s="2">
        <f t="shared" si="69"/>
        <v>2587000</v>
      </c>
      <c r="O136" s="17"/>
      <c r="P136" s="2">
        <f t="shared" si="36"/>
        <v>2587000</v>
      </c>
    </row>
    <row r="137" spans="1:16" ht="24.75" customHeight="1" x14ac:dyDescent="0.25">
      <c r="A137" s="315"/>
      <c r="B137" s="355" t="s">
        <v>146</v>
      </c>
      <c r="C137" s="355"/>
      <c r="D137" s="355"/>
      <c r="E137" s="289">
        <v>851</v>
      </c>
      <c r="F137" s="1" t="s">
        <v>0</v>
      </c>
      <c r="G137" s="1" t="s">
        <v>18</v>
      </c>
      <c r="H137" s="1" t="s">
        <v>736</v>
      </c>
      <c r="I137" s="1" t="s">
        <v>110</v>
      </c>
      <c r="J137" s="2">
        <v>2587000</v>
      </c>
      <c r="K137" s="2">
        <v>2587000</v>
      </c>
      <c r="L137" s="2"/>
      <c r="M137" s="2">
        <f t="shared" si="35"/>
        <v>2587000</v>
      </c>
      <c r="N137" s="2">
        <v>2587000</v>
      </c>
      <c r="O137" s="17"/>
      <c r="P137" s="2">
        <f t="shared" si="36"/>
        <v>2587000</v>
      </c>
    </row>
    <row r="138" spans="1:16" x14ac:dyDescent="0.25">
      <c r="A138" s="589" t="s">
        <v>111</v>
      </c>
      <c r="B138" s="589"/>
      <c r="C138" s="360"/>
      <c r="D138" s="360"/>
      <c r="E138" s="289">
        <v>851</v>
      </c>
      <c r="F138" s="12" t="s">
        <v>0</v>
      </c>
      <c r="G138" s="12" t="s">
        <v>4</v>
      </c>
      <c r="H138" s="12"/>
      <c r="I138" s="12"/>
      <c r="J138" s="14">
        <f>J139</f>
        <v>582660</v>
      </c>
      <c r="K138" s="14">
        <f t="shared" ref="K138:P138" si="70">K139</f>
        <v>582660</v>
      </c>
      <c r="L138" s="14">
        <f t="shared" si="70"/>
        <v>0</v>
      </c>
      <c r="M138" s="14">
        <f t="shared" si="70"/>
        <v>582660</v>
      </c>
      <c r="N138" s="14">
        <f t="shared" si="70"/>
        <v>582660</v>
      </c>
      <c r="O138" s="14">
        <f t="shared" si="70"/>
        <v>0</v>
      </c>
      <c r="P138" s="14">
        <f t="shared" si="70"/>
        <v>582660</v>
      </c>
    </row>
    <row r="139" spans="1:16" ht="27" customHeight="1" x14ac:dyDescent="0.25">
      <c r="A139" s="591" t="s">
        <v>150</v>
      </c>
      <c r="B139" s="591"/>
      <c r="C139" s="355"/>
      <c r="D139" s="355"/>
      <c r="E139" s="289">
        <v>851</v>
      </c>
      <c r="F139" s="1" t="s">
        <v>0</v>
      </c>
      <c r="G139" s="1" t="s">
        <v>4</v>
      </c>
      <c r="H139" s="1" t="s">
        <v>739</v>
      </c>
      <c r="I139" s="1"/>
      <c r="J139" s="2">
        <f t="shared" ref="J139:N140" si="71">J140</f>
        <v>582660</v>
      </c>
      <c r="K139" s="2">
        <f t="shared" si="71"/>
        <v>582660</v>
      </c>
      <c r="L139" s="2"/>
      <c r="M139" s="2">
        <f t="shared" si="35"/>
        <v>582660</v>
      </c>
      <c r="N139" s="2">
        <f t="shared" si="71"/>
        <v>582660</v>
      </c>
      <c r="O139" s="17"/>
      <c r="P139" s="2">
        <f t="shared" si="36"/>
        <v>582660</v>
      </c>
    </row>
    <row r="140" spans="1:16" ht="13.5" customHeight="1" x14ac:dyDescent="0.25">
      <c r="A140" s="315"/>
      <c r="B140" s="355" t="s">
        <v>108</v>
      </c>
      <c r="C140" s="355"/>
      <c r="D140" s="355"/>
      <c r="E140" s="289">
        <v>851</v>
      </c>
      <c r="F140" s="1" t="s">
        <v>0</v>
      </c>
      <c r="G140" s="1" t="s">
        <v>4</v>
      </c>
      <c r="H140" s="1" t="s">
        <v>739</v>
      </c>
      <c r="I140" s="1" t="s">
        <v>109</v>
      </c>
      <c r="J140" s="2">
        <f t="shared" si="71"/>
        <v>582660</v>
      </c>
      <c r="K140" s="2">
        <f t="shared" si="71"/>
        <v>582660</v>
      </c>
      <c r="L140" s="2"/>
      <c r="M140" s="2">
        <f t="shared" ref="M140:M203" si="72">K140+L140</f>
        <v>582660</v>
      </c>
      <c r="N140" s="2">
        <f t="shared" si="71"/>
        <v>582660</v>
      </c>
      <c r="O140" s="17"/>
      <c r="P140" s="2">
        <f t="shared" ref="P140:P203" si="73">N140+O140</f>
        <v>582660</v>
      </c>
    </row>
    <row r="141" spans="1:16" ht="13.5" customHeight="1" x14ac:dyDescent="0.25">
      <c r="A141" s="315"/>
      <c r="B141" s="355" t="s">
        <v>152</v>
      </c>
      <c r="C141" s="355"/>
      <c r="D141" s="355"/>
      <c r="E141" s="289">
        <v>851</v>
      </c>
      <c r="F141" s="1" t="s">
        <v>0</v>
      </c>
      <c r="G141" s="1" t="s">
        <v>4</v>
      </c>
      <c r="H141" s="1" t="s">
        <v>739</v>
      </c>
      <c r="I141" s="1" t="s">
        <v>153</v>
      </c>
      <c r="J141" s="2">
        <v>582660</v>
      </c>
      <c r="K141" s="2">
        <v>582660</v>
      </c>
      <c r="L141" s="2"/>
      <c r="M141" s="2">
        <f t="shared" si="72"/>
        <v>582660</v>
      </c>
      <c r="N141" s="2">
        <v>582660</v>
      </c>
      <c r="O141" s="17"/>
      <c r="P141" s="2">
        <f t="shared" si="73"/>
        <v>582660</v>
      </c>
    </row>
    <row r="142" spans="1:16" x14ac:dyDescent="0.25">
      <c r="A142" s="589" t="s">
        <v>112</v>
      </c>
      <c r="B142" s="589"/>
      <c r="C142" s="365"/>
      <c r="D142" s="365"/>
      <c r="E142" s="289">
        <v>851</v>
      </c>
      <c r="F142" s="12" t="s">
        <v>0</v>
      </c>
      <c r="G142" s="12" t="s">
        <v>7</v>
      </c>
      <c r="H142" s="12"/>
      <c r="I142" s="12"/>
      <c r="J142" s="14">
        <f t="shared" ref="J142:P142" si="74">J144</f>
        <v>8011575</v>
      </c>
      <c r="K142" s="14">
        <f t="shared" si="74"/>
        <v>7821800</v>
      </c>
      <c r="L142" s="14">
        <f t="shared" si="74"/>
        <v>0</v>
      </c>
      <c r="M142" s="14">
        <f t="shared" si="74"/>
        <v>7821800</v>
      </c>
      <c r="N142" s="14">
        <f t="shared" si="74"/>
        <v>7821800</v>
      </c>
      <c r="O142" s="14">
        <f t="shared" si="74"/>
        <v>0</v>
      </c>
      <c r="P142" s="14">
        <f t="shared" si="74"/>
        <v>7821800</v>
      </c>
    </row>
    <row r="143" spans="1:16" s="26" customFormat="1" ht="48" customHeight="1" x14ac:dyDescent="0.25">
      <c r="A143" s="583" t="s">
        <v>598</v>
      </c>
      <c r="B143" s="583"/>
      <c r="C143" s="358"/>
      <c r="D143" s="356"/>
      <c r="E143" s="289">
        <v>851</v>
      </c>
      <c r="F143" s="20" t="s">
        <v>0</v>
      </c>
      <c r="G143" s="20" t="s">
        <v>7</v>
      </c>
      <c r="H143" s="20" t="s">
        <v>738</v>
      </c>
      <c r="I143" s="20"/>
      <c r="J143" s="24">
        <f t="shared" ref="J143:N144" si="75">J144</f>
        <v>8011575</v>
      </c>
      <c r="K143" s="24">
        <f t="shared" si="75"/>
        <v>7821800</v>
      </c>
      <c r="L143" s="24"/>
      <c r="M143" s="2">
        <f t="shared" si="72"/>
        <v>7821800</v>
      </c>
      <c r="N143" s="24">
        <f t="shared" si="75"/>
        <v>7821800</v>
      </c>
      <c r="O143" s="434"/>
      <c r="P143" s="2">
        <f t="shared" si="73"/>
        <v>7821800</v>
      </c>
    </row>
    <row r="144" spans="1:16" ht="14.25" customHeight="1" x14ac:dyDescent="0.25">
      <c r="A144" s="17"/>
      <c r="B144" s="355" t="s">
        <v>108</v>
      </c>
      <c r="C144" s="358"/>
      <c r="D144" s="358"/>
      <c r="E144" s="289">
        <v>851</v>
      </c>
      <c r="F144" s="20" t="s">
        <v>0</v>
      </c>
      <c r="G144" s="20" t="s">
        <v>7</v>
      </c>
      <c r="H144" s="20" t="s">
        <v>738</v>
      </c>
      <c r="I144" s="1" t="s">
        <v>109</v>
      </c>
      <c r="J144" s="2">
        <f t="shared" si="75"/>
        <v>8011575</v>
      </c>
      <c r="K144" s="2">
        <f t="shared" si="75"/>
        <v>7821800</v>
      </c>
      <c r="L144" s="2"/>
      <c r="M144" s="2">
        <f t="shared" si="72"/>
        <v>7821800</v>
      </c>
      <c r="N144" s="2">
        <f t="shared" si="75"/>
        <v>7821800</v>
      </c>
      <c r="O144" s="17"/>
      <c r="P144" s="2">
        <f t="shared" si="73"/>
        <v>7821800</v>
      </c>
    </row>
    <row r="145" spans="1:16" s="26" customFormat="1" ht="24" customHeight="1" x14ac:dyDescent="0.25">
      <c r="A145" s="356"/>
      <c r="B145" s="356" t="s">
        <v>114</v>
      </c>
      <c r="C145" s="358"/>
      <c r="D145" s="358"/>
      <c r="E145" s="289">
        <v>851</v>
      </c>
      <c r="F145" s="20" t="s">
        <v>0</v>
      </c>
      <c r="G145" s="20" t="s">
        <v>7</v>
      </c>
      <c r="H145" s="20" t="s">
        <v>738</v>
      </c>
      <c r="I145" s="20" t="s">
        <v>115</v>
      </c>
      <c r="J145" s="24">
        <v>8011575</v>
      </c>
      <c r="K145" s="24">
        <v>7821800</v>
      </c>
      <c r="L145" s="24"/>
      <c r="M145" s="2">
        <f t="shared" si="72"/>
        <v>7821800</v>
      </c>
      <c r="N145" s="24">
        <v>7821800</v>
      </c>
      <c r="O145" s="434"/>
      <c r="P145" s="2">
        <f t="shared" si="73"/>
        <v>7821800</v>
      </c>
    </row>
    <row r="146" spans="1:16" x14ac:dyDescent="0.25">
      <c r="A146" s="589" t="s">
        <v>116</v>
      </c>
      <c r="B146" s="589"/>
      <c r="C146" s="365"/>
      <c r="D146" s="365"/>
      <c r="E146" s="289">
        <v>851</v>
      </c>
      <c r="F146" s="12" t="s">
        <v>0</v>
      </c>
      <c r="G146" s="12" t="s">
        <v>1</v>
      </c>
      <c r="H146" s="12"/>
      <c r="I146" s="12"/>
      <c r="J146" s="14">
        <f t="shared" ref="J146:P146" si="76">J147</f>
        <v>270000</v>
      </c>
      <c r="K146" s="14">
        <f t="shared" si="76"/>
        <v>270000</v>
      </c>
      <c r="L146" s="14">
        <f t="shared" si="76"/>
        <v>0</v>
      </c>
      <c r="M146" s="14">
        <f t="shared" si="76"/>
        <v>270000</v>
      </c>
      <c r="N146" s="14">
        <f t="shared" si="76"/>
        <v>270000</v>
      </c>
      <c r="O146" s="14">
        <f t="shared" si="76"/>
        <v>0</v>
      </c>
      <c r="P146" s="14">
        <f t="shared" si="76"/>
        <v>270000</v>
      </c>
    </row>
    <row r="147" spans="1:16" x14ac:dyDescent="0.25">
      <c r="A147" s="583" t="s">
        <v>117</v>
      </c>
      <c r="B147" s="583"/>
      <c r="C147" s="356"/>
      <c r="D147" s="356"/>
      <c r="E147" s="289">
        <v>851</v>
      </c>
      <c r="F147" s="1" t="s">
        <v>0</v>
      </c>
      <c r="G147" s="1" t="s">
        <v>1</v>
      </c>
      <c r="H147" s="20" t="s">
        <v>737</v>
      </c>
      <c r="I147" s="1"/>
      <c r="J147" s="2">
        <f t="shared" ref="J147:N147" si="77">J148+J150</f>
        <v>270000</v>
      </c>
      <c r="K147" s="2">
        <f t="shared" si="77"/>
        <v>270000</v>
      </c>
      <c r="L147" s="2"/>
      <c r="M147" s="2">
        <f t="shared" si="72"/>
        <v>270000</v>
      </c>
      <c r="N147" s="2">
        <f t="shared" si="77"/>
        <v>270000</v>
      </c>
      <c r="O147" s="17"/>
      <c r="P147" s="2">
        <f t="shared" si="73"/>
        <v>270000</v>
      </c>
    </row>
    <row r="148" spans="1:16" ht="12" customHeight="1" x14ac:dyDescent="0.25">
      <c r="A148" s="17"/>
      <c r="B148" s="356" t="s">
        <v>28</v>
      </c>
      <c r="C148" s="355"/>
      <c r="D148" s="355"/>
      <c r="E148" s="289">
        <v>851</v>
      </c>
      <c r="F148" s="20" t="s">
        <v>0</v>
      </c>
      <c r="G148" s="1" t="s">
        <v>1</v>
      </c>
      <c r="H148" s="20" t="s">
        <v>737</v>
      </c>
      <c r="I148" s="1" t="s">
        <v>29</v>
      </c>
      <c r="J148" s="2">
        <f t="shared" ref="J148:N148" si="78">J149</f>
        <v>90000</v>
      </c>
      <c r="K148" s="2">
        <f t="shared" si="78"/>
        <v>90000</v>
      </c>
      <c r="L148" s="2"/>
      <c r="M148" s="2">
        <f t="shared" si="72"/>
        <v>90000</v>
      </c>
      <c r="N148" s="2">
        <f t="shared" si="78"/>
        <v>90000</v>
      </c>
      <c r="O148" s="17"/>
      <c r="P148" s="2">
        <f t="shared" si="73"/>
        <v>90000</v>
      </c>
    </row>
    <row r="149" spans="1:16" ht="26.25" customHeight="1" x14ac:dyDescent="0.25">
      <c r="A149" s="17"/>
      <c r="B149" s="356" t="s">
        <v>30</v>
      </c>
      <c r="C149" s="356"/>
      <c r="D149" s="356"/>
      <c r="E149" s="289">
        <v>851</v>
      </c>
      <c r="F149" s="20" t="s">
        <v>0</v>
      </c>
      <c r="G149" s="1" t="s">
        <v>1</v>
      </c>
      <c r="H149" s="20" t="s">
        <v>737</v>
      </c>
      <c r="I149" s="1" t="s">
        <v>31</v>
      </c>
      <c r="J149" s="2">
        <v>90000</v>
      </c>
      <c r="K149" s="2">
        <v>90000</v>
      </c>
      <c r="L149" s="2"/>
      <c r="M149" s="2">
        <f t="shared" si="72"/>
        <v>90000</v>
      </c>
      <c r="N149" s="2">
        <v>90000</v>
      </c>
      <c r="O149" s="17"/>
      <c r="P149" s="2">
        <f t="shared" si="73"/>
        <v>90000</v>
      </c>
    </row>
    <row r="150" spans="1:16" ht="14.25" customHeight="1" x14ac:dyDescent="0.25">
      <c r="A150" s="315"/>
      <c r="B150" s="355" t="s">
        <v>108</v>
      </c>
      <c r="C150" s="355"/>
      <c r="D150" s="355"/>
      <c r="E150" s="289">
        <v>851</v>
      </c>
      <c r="F150" s="1" t="s">
        <v>0</v>
      </c>
      <c r="G150" s="1" t="s">
        <v>1</v>
      </c>
      <c r="H150" s="20" t="s">
        <v>737</v>
      </c>
      <c r="I150" s="1" t="s">
        <v>109</v>
      </c>
      <c r="J150" s="2">
        <f>J151</f>
        <v>180000</v>
      </c>
      <c r="K150" s="2">
        <f>K151</f>
        <v>180000</v>
      </c>
      <c r="L150" s="2"/>
      <c r="M150" s="2">
        <f t="shared" si="72"/>
        <v>180000</v>
      </c>
      <c r="N150" s="2">
        <f>N151</f>
        <v>180000</v>
      </c>
      <c r="O150" s="17"/>
      <c r="P150" s="2">
        <f t="shared" si="73"/>
        <v>180000</v>
      </c>
    </row>
    <row r="151" spans="1:16" ht="26.25" customHeight="1" x14ac:dyDescent="0.25">
      <c r="A151" s="315"/>
      <c r="B151" s="355" t="s">
        <v>379</v>
      </c>
      <c r="C151" s="355"/>
      <c r="D151" s="355"/>
      <c r="E151" s="289">
        <v>851</v>
      </c>
      <c r="F151" s="1" t="s">
        <v>0</v>
      </c>
      <c r="G151" s="1" t="s">
        <v>1</v>
      </c>
      <c r="H151" s="20" t="s">
        <v>737</v>
      </c>
      <c r="I151" s="1" t="s">
        <v>9</v>
      </c>
      <c r="J151" s="2">
        <v>180000</v>
      </c>
      <c r="K151" s="2">
        <v>180000</v>
      </c>
      <c r="L151" s="2"/>
      <c r="M151" s="2">
        <f t="shared" si="72"/>
        <v>180000</v>
      </c>
      <c r="N151" s="2">
        <v>180000</v>
      </c>
      <c r="O151" s="17"/>
      <c r="P151" s="2">
        <f t="shared" si="73"/>
        <v>180000</v>
      </c>
    </row>
    <row r="152" spans="1:16" x14ac:dyDescent="0.25">
      <c r="A152" s="588" t="s">
        <v>118</v>
      </c>
      <c r="B152" s="588"/>
      <c r="C152" s="364"/>
      <c r="D152" s="364"/>
      <c r="E152" s="289">
        <v>851</v>
      </c>
      <c r="F152" s="7" t="s">
        <v>39</v>
      </c>
      <c r="G152" s="7"/>
      <c r="H152" s="7"/>
      <c r="I152" s="7"/>
      <c r="J152" s="9">
        <f t="shared" ref="J152:P152" si="79">J153</f>
        <v>544000</v>
      </c>
      <c r="K152" s="9">
        <f t="shared" si="79"/>
        <v>260000</v>
      </c>
      <c r="L152" s="9">
        <f t="shared" si="79"/>
        <v>0</v>
      </c>
      <c r="M152" s="9">
        <f t="shared" si="79"/>
        <v>260000</v>
      </c>
      <c r="N152" s="9">
        <f t="shared" si="79"/>
        <v>260000</v>
      </c>
      <c r="O152" s="9">
        <f t="shared" si="79"/>
        <v>0</v>
      </c>
      <c r="P152" s="9">
        <f t="shared" si="79"/>
        <v>260000</v>
      </c>
    </row>
    <row r="153" spans="1:16" x14ac:dyDescent="0.25">
      <c r="A153" s="596" t="s">
        <v>119</v>
      </c>
      <c r="B153" s="596"/>
      <c r="C153" s="367"/>
      <c r="D153" s="367"/>
      <c r="E153" s="289">
        <v>851</v>
      </c>
      <c r="F153" s="12" t="s">
        <v>39</v>
      </c>
      <c r="G153" s="12" t="s">
        <v>74</v>
      </c>
      <c r="H153" s="12"/>
      <c r="I153" s="12"/>
      <c r="J153" s="14">
        <f t="shared" ref="J153:K153" si="80">J154+J157</f>
        <v>544000</v>
      </c>
      <c r="K153" s="14">
        <f t="shared" si="80"/>
        <v>260000</v>
      </c>
      <c r="L153" s="14">
        <f t="shared" ref="L153:P153" si="81">L154+L157</f>
        <v>0</v>
      </c>
      <c r="M153" s="14">
        <f t="shared" si="81"/>
        <v>260000</v>
      </c>
      <c r="N153" s="14">
        <f t="shared" si="81"/>
        <v>260000</v>
      </c>
      <c r="O153" s="14">
        <f t="shared" si="81"/>
        <v>0</v>
      </c>
      <c r="P153" s="14">
        <f t="shared" si="81"/>
        <v>260000</v>
      </c>
    </row>
    <row r="154" spans="1:16" s="27" customFormat="1" x14ac:dyDescent="0.25">
      <c r="A154" s="583" t="s">
        <v>120</v>
      </c>
      <c r="B154" s="583"/>
      <c r="C154" s="356"/>
      <c r="D154" s="356"/>
      <c r="E154" s="289">
        <v>851</v>
      </c>
      <c r="F154" s="1" t="s">
        <v>39</v>
      </c>
      <c r="G154" s="1" t="s">
        <v>74</v>
      </c>
      <c r="H154" s="20" t="s">
        <v>734</v>
      </c>
      <c r="I154" s="1"/>
      <c r="J154" s="2">
        <f t="shared" ref="J154:N155" si="82">J155</f>
        <v>260000</v>
      </c>
      <c r="K154" s="2">
        <f t="shared" si="82"/>
        <v>260000</v>
      </c>
      <c r="L154" s="2"/>
      <c r="M154" s="2">
        <f t="shared" si="72"/>
        <v>260000</v>
      </c>
      <c r="N154" s="2">
        <f t="shared" si="82"/>
        <v>260000</v>
      </c>
      <c r="O154" s="447"/>
      <c r="P154" s="2">
        <f t="shared" si="73"/>
        <v>260000</v>
      </c>
    </row>
    <row r="155" spans="1:16" ht="15" customHeight="1" x14ac:dyDescent="0.25">
      <c r="A155" s="17"/>
      <c r="B155" s="356" t="s">
        <v>28</v>
      </c>
      <c r="C155" s="355"/>
      <c r="D155" s="355"/>
      <c r="E155" s="289">
        <v>851</v>
      </c>
      <c r="F155" s="1" t="s">
        <v>39</v>
      </c>
      <c r="G155" s="1" t="s">
        <v>74</v>
      </c>
      <c r="H155" s="20" t="s">
        <v>734</v>
      </c>
      <c r="I155" s="1" t="s">
        <v>29</v>
      </c>
      <c r="J155" s="2">
        <f t="shared" si="82"/>
        <v>260000</v>
      </c>
      <c r="K155" s="2">
        <f t="shared" si="82"/>
        <v>260000</v>
      </c>
      <c r="L155" s="2"/>
      <c r="M155" s="2">
        <f t="shared" si="72"/>
        <v>260000</v>
      </c>
      <c r="N155" s="2">
        <f t="shared" si="82"/>
        <v>260000</v>
      </c>
      <c r="O155" s="17"/>
      <c r="P155" s="2">
        <f t="shared" si="73"/>
        <v>260000</v>
      </c>
    </row>
    <row r="156" spans="1:16" ht="26.25" customHeight="1" x14ac:dyDescent="0.25">
      <c r="A156" s="17"/>
      <c r="B156" s="356" t="s">
        <v>30</v>
      </c>
      <c r="C156" s="356"/>
      <c r="D156" s="356"/>
      <c r="E156" s="289">
        <v>851</v>
      </c>
      <c r="F156" s="1" t="s">
        <v>39</v>
      </c>
      <c r="G156" s="1" t="s">
        <v>74</v>
      </c>
      <c r="H156" s="20" t="s">
        <v>734</v>
      </c>
      <c r="I156" s="1" t="s">
        <v>31</v>
      </c>
      <c r="J156" s="2">
        <v>260000</v>
      </c>
      <c r="K156" s="2">
        <v>260000</v>
      </c>
      <c r="L156" s="2"/>
      <c r="M156" s="2">
        <f t="shared" si="72"/>
        <v>260000</v>
      </c>
      <c r="N156" s="2">
        <v>260000</v>
      </c>
      <c r="O156" s="17"/>
      <c r="P156" s="2">
        <f t="shared" si="73"/>
        <v>260000</v>
      </c>
    </row>
    <row r="157" spans="1:16" ht="38.25" hidden="1" customHeight="1" x14ac:dyDescent="0.25">
      <c r="A157" s="583" t="s">
        <v>610</v>
      </c>
      <c r="B157" s="583"/>
      <c r="C157" s="367"/>
      <c r="D157" s="367"/>
      <c r="E157" s="289">
        <v>851</v>
      </c>
      <c r="F157" s="1" t="s">
        <v>39</v>
      </c>
      <c r="G157" s="1" t="s">
        <v>74</v>
      </c>
      <c r="H157" s="1" t="s">
        <v>735</v>
      </c>
      <c r="I157" s="1"/>
      <c r="J157" s="2">
        <f t="shared" ref="J157:N158" si="83">J158</f>
        <v>284000</v>
      </c>
      <c r="K157" s="2">
        <f t="shared" si="83"/>
        <v>0</v>
      </c>
      <c r="L157" s="2"/>
      <c r="M157" s="2">
        <f t="shared" si="72"/>
        <v>0</v>
      </c>
      <c r="N157" s="2">
        <f t="shared" si="83"/>
        <v>0</v>
      </c>
      <c r="O157" s="17"/>
      <c r="P157" s="2">
        <f t="shared" si="73"/>
        <v>0</v>
      </c>
    </row>
    <row r="158" spans="1:16" ht="14.25" hidden="1" customHeight="1" x14ac:dyDescent="0.25">
      <c r="A158" s="17"/>
      <c r="B158" s="356" t="s">
        <v>28</v>
      </c>
      <c r="C158" s="367"/>
      <c r="D158" s="367"/>
      <c r="E158" s="289">
        <v>851</v>
      </c>
      <c r="F158" s="1" t="s">
        <v>39</v>
      </c>
      <c r="G158" s="1" t="s">
        <v>74</v>
      </c>
      <c r="H158" s="1" t="s">
        <v>735</v>
      </c>
      <c r="I158" s="1" t="s">
        <v>29</v>
      </c>
      <c r="J158" s="2">
        <f t="shared" si="83"/>
        <v>284000</v>
      </c>
      <c r="K158" s="2">
        <f t="shared" si="83"/>
        <v>0</v>
      </c>
      <c r="L158" s="2"/>
      <c r="M158" s="2">
        <f t="shared" si="72"/>
        <v>0</v>
      </c>
      <c r="N158" s="2">
        <f t="shared" si="83"/>
        <v>0</v>
      </c>
      <c r="O158" s="17"/>
      <c r="P158" s="2">
        <f t="shared" si="73"/>
        <v>0</v>
      </c>
    </row>
    <row r="159" spans="1:16" ht="25.5" hidden="1" customHeight="1" x14ac:dyDescent="0.25">
      <c r="A159" s="17"/>
      <c r="B159" s="356" t="s">
        <v>30</v>
      </c>
      <c r="C159" s="367"/>
      <c r="D159" s="367"/>
      <c r="E159" s="289">
        <v>851</v>
      </c>
      <c r="F159" s="1" t="s">
        <v>39</v>
      </c>
      <c r="G159" s="1" t="s">
        <v>74</v>
      </c>
      <c r="H159" s="1" t="s">
        <v>735</v>
      </c>
      <c r="I159" s="1" t="s">
        <v>31</v>
      </c>
      <c r="J159" s="2">
        <v>284000</v>
      </c>
      <c r="K159" s="2"/>
      <c r="L159" s="2"/>
      <c r="M159" s="2">
        <f t="shared" si="72"/>
        <v>0</v>
      </c>
      <c r="N159" s="2"/>
      <c r="O159" s="17"/>
      <c r="P159" s="2">
        <f t="shared" si="73"/>
        <v>0</v>
      </c>
    </row>
    <row r="160" spans="1:16" ht="27" customHeight="1" x14ac:dyDescent="0.25">
      <c r="A160" s="593" t="s">
        <v>122</v>
      </c>
      <c r="B160" s="593"/>
      <c r="C160" s="373"/>
      <c r="D160" s="373"/>
      <c r="E160" s="373">
        <v>852</v>
      </c>
      <c r="F160" s="20"/>
      <c r="G160" s="20"/>
      <c r="H160" s="20"/>
      <c r="I160" s="1"/>
      <c r="J160" s="9">
        <f>J161+J214</f>
        <v>148946959</v>
      </c>
      <c r="K160" s="9">
        <f>K161+K214</f>
        <v>154829959</v>
      </c>
      <c r="L160" s="9">
        <f t="shared" ref="L160:P160" si="84">L161+L214</f>
        <v>0</v>
      </c>
      <c r="M160" s="9">
        <f t="shared" si="84"/>
        <v>154829959</v>
      </c>
      <c r="N160" s="9">
        <f t="shared" si="84"/>
        <v>154823759</v>
      </c>
      <c r="O160" s="9">
        <f t="shared" si="84"/>
        <v>0</v>
      </c>
      <c r="P160" s="9">
        <f t="shared" si="84"/>
        <v>154823759</v>
      </c>
    </row>
    <row r="161" spans="1:16" s="11" customFormat="1" x14ac:dyDescent="0.25">
      <c r="A161" s="588" t="s">
        <v>80</v>
      </c>
      <c r="B161" s="588"/>
      <c r="C161" s="364"/>
      <c r="D161" s="364"/>
      <c r="E161" s="289">
        <v>852</v>
      </c>
      <c r="F161" s="7" t="s">
        <v>37</v>
      </c>
      <c r="G161" s="7"/>
      <c r="H161" s="7"/>
      <c r="I161" s="7"/>
      <c r="J161" s="9">
        <f>J162+J175+J194+J198</f>
        <v>139714123</v>
      </c>
      <c r="K161" s="9">
        <f>K162+K175+K194+K198</f>
        <v>145452723</v>
      </c>
      <c r="L161" s="9">
        <f t="shared" ref="L161:P161" si="85">L162+L175+L194+L198</f>
        <v>0</v>
      </c>
      <c r="M161" s="9">
        <f t="shared" si="85"/>
        <v>145452723</v>
      </c>
      <c r="N161" s="9">
        <f t="shared" si="85"/>
        <v>145452723</v>
      </c>
      <c r="O161" s="9">
        <f t="shared" si="85"/>
        <v>0</v>
      </c>
      <c r="P161" s="9">
        <f t="shared" si="85"/>
        <v>145452723</v>
      </c>
    </row>
    <row r="162" spans="1:16" s="15" customFormat="1" x14ac:dyDescent="0.25">
      <c r="A162" s="589" t="s">
        <v>81</v>
      </c>
      <c r="B162" s="589"/>
      <c r="C162" s="365"/>
      <c r="D162" s="365"/>
      <c r="E162" s="289">
        <v>852</v>
      </c>
      <c r="F162" s="12" t="s">
        <v>37</v>
      </c>
      <c r="G162" s="12" t="s">
        <v>18</v>
      </c>
      <c r="H162" s="12"/>
      <c r="I162" s="12"/>
      <c r="J162" s="14">
        <f>J166+J169+J163+J172</f>
        <v>33975927</v>
      </c>
      <c r="K162" s="14">
        <f t="shared" ref="K162" si="86">K166+K169+K163+K172</f>
        <v>33664927</v>
      </c>
      <c r="L162" s="14">
        <f t="shared" ref="L162:P162" si="87">L166+L169+L163+L172</f>
        <v>0</v>
      </c>
      <c r="M162" s="14">
        <f t="shared" si="87"/>
        <v>33664927</v>
      </c>
      <c r="N162" s="14">
        <f t="shared" si="87"/>
        <v>33664927</v>
      </c>
      <c r="O162" s="14">
        <f t="shared" si="87"/>
        <v>0</v>
      </c>
      <c r="P162" s="14">
        <f t="shared" si="87"/>
        <v>33664927</v>
      </c>
    </row>
    <row r="163" spans="1:16" s="26" customFormat="1" x14ac:dyDescent="0.25">
      <c r="A163" s="583" t="s">
        <v>126</v>
      </c>
      <c r="B163" s="583"/>
      <c r="C163" s="356"/>
      <c r="D163" s="355"/>
      <c r="E163" s="289">
        <v>852</v>
      </c>
      <c r="F163" s="20" t="s">
        <v>37</v>
      </c>
      <c r="G163" s="20" t="s">
        <v>18</v>
      </c>
      <c r="H163" s="20" t="s">
        <v>127</v>
      </c>
      <c r="I163" s="20"/>
      <c r="J163" s="24">
        <f t="shared" ref="J163:N164" si="88">J164</f>
        <v>11495900</v>
      </c>
      <c r="K163" s="24">
        <f t="shared" si="88"/>
        <v>11495900</v>
      </c>
      <c r="L163" s="24"/>
      <c r="M163" s="2">
        <f t="shared" si="72"/>
        <v>11495900</v>
      </c>
      <c r="N163" s="24">
        <f t="shared" si="88"/>
        <v>11495900</v>
      </c>
      <c r="O163" s="434"/>
      <c r="P163" s="2">
        <f t="shared" si="73"/>
        <v>11495900</v>
      </c>
    </row>
    <row r="164" spans="1:16" s="26" customFormat="1" ht="25.5" customHeight="1" x14ac:dyDescent="0.25">
      <c r="A164" s="356"/>
      <c r="B164" s="356" t="s">
        <v>95</v>
      </c>
      <c r="C164" s="356"/>
      <c r="D164" s="356"/>
      <c r="E164" s="289">
        <v>852</v>
      </c>
      <c r="F164" s="20" t="s">
        <v>37</v>
      </c>
      <c r="G164" s="20" t="s">
        <v>18</v>
      </c>
      <c r="H164" s="20" t="s">
        <v>127</v>
      </c>
      <c r="I164" s="20" t="s">
        <v>90</v>
      </c>
      <c r="J164" s="24">
        <f t="shared" si="88"/>
        <v>11495900</v>
      </c>
      <c r="K164" s="24">
        <f t="shared" si="88"/>
        <v>11495900</v>
      </c>
      <c r="L164" s="24"/>
      <c r="M164" s="2">
        <f t="shared" si="72"/>
        <v>11495900</v>
      </c>
      <c r="N164" s="24">
        <f t="shared" si="88"/>
        <v>11495900</v>
      </c>
      <c r="O164" s="434"/>
      <c r="P164" s="2">
        <f t="shared" si="73"/>
        <v>11495900</v>
      </c>
    </row>
    <row r="165" spans="1:16" ht="36.75" customHeight="1" x14ac:dyDescent="0.25">
      <c r="A165" s="356"/>
      <c r="B165" s="356" t="s">
        <v>91</v>
      </c>
      <c r="C165" s="356"/>
      <c r="D165" s="356"/>
      <c r="E165" s="289">
        <v>852</v>
      </c>
      <c r="F165" s="1" t="s">
        <v>37</v>
      </c>
      <c r="G165" s="1" t="s">
        <v>18</v>
      </c>
      <c r="H165" s="20" t="s">
        <v>127</v>
      </c>
      <c r="I165" s="1" t="s">
        <v>92</v>
      </c>
      <c r="J165" s="2">
        <f>11396000+99900</f>
        <v>11495900</v>
      </c>
      <c r="K165" s="2">
        <f t="shared" ref="K165:N165" si="89">11396000+99900</f>
        <v>11495900</v>
      </c>
      <c r="L165" s="2"/>
      <c r="M165" s="2">
        <f t="shared" si="72"/>
        <v>11495900</v>
      </c>
      <c r="N165" s="2">
        <f t="shared" si="89"/>
        <v>11495900</v>
      </c>
      <c r="O165" s="17"/>
      <c r="P165" s="2">
        <f t="shared" si="73"/>
        <v>11495900</v>
      </c>
    </row>
    <row r="166" spans="1:16" s="15" customFormat="1" ht="25.5" customHeight="1" x14ac:dyDescent="0.25">
      <c r="A166" s="595" t="s">
        <v>659</v>
      </c>
      <c r="B166" s="595"/>
      <c r="C166" s="365"/>
      <c r="D166" s="365"/>
      <c r="E166" s="289">
        <v>852</v>
      </c>
      <c r="F166" s="1" t="s">
        <v>37</v>
      </c>
      <c r="G166" s="1" t="s">
        <v>18</v>
      </c>
      <c r="H166" s="1" t="s">
        <v>123</v>
      </c>
      <c r="I166" s="1"/>
      <c r="J166" s="2">
        <f t="shared" ref="J166:N167" si="90">J167</f>
        <v>21495027</v>
      </c>
      <c r="K166" s="2">
        <f t="shared" si="90"/>
        <v>21495027</v>
      </c>
      <c r="L166" s="2"/>
      <c r="M166" s="2">
        <f t="shared" si="72"/>
        <v>21495027</v>
      </c>
      <c r="N166" s="2">
        <f t="shared" si="90"/>
        <v>21495027</v>
      </c>
      <c r="O166" s="435"/>
      <c r="P166" s="2">
        <f t="shared" si="73"/>
        <v>21495027</v>
      </c>
    </row>
    <row r="167" spans="1:16" s="15" customFormat="1" ht="24" customHeight="1" x14ac:dyDescent="0.25">
      <c r="A167" s="365"/>
      <c r="B167" s="356" t="s">
        <v>95</v>
      </c>
      <c r="C167" s="365"/>
      <c r="D167" s="365"/>
      <c r="E167" s="289">
        <v>852</v>
      </c>
      <c r="F167" s="1" t="s">
        <v>37</v>
      </c>
      <c r="G167" s="1" t="s">
        <v>18</v>
      </c>
      <c r="H167" s="1" t="s">
        <v>123</v>
      </c>
      <c r="I167" s="1" t="s">
        <v>90</v>
      </c>
      <c r="J167" s="2">
        <f t="shared" si="90"/>
        <v>21495027</v>
      </c>
      <c r="K167" s="2">
        <f t="shared" si="90"/>
        <v>21495027</v>
      </c>
      <c r="L167" s="2"/>
      <c r="M167" s="2">
        <f t="shared" si="72"/>
        <v>21495027</v>
      </c>
      <c r="N167" s="2">
        <f t="shared" si="90"/>
        <v>21495027</v>
      </c>
      <c r="O167" s="435"/>
      <c r="P167" s="2">
        <f t="shared" si="73"/>
        <v>21495027</v>
      </c>
    </row>
    <row r="168" spans="1:16" s="15" customFormat="1" ht="36" x14ac:dyDescent="0.25">
      <c r="A168" s="365"/>
      <c r="B168" s="356" t="s">
        <v>91</v>
      </c>
      <c r="C168" s="365"/>
      <c r="D168" s="365"/>
      <c r="E168" s="289">
        <v>852</v>
      </c>
      <c r="F168" s="1" t="s">
        <v>37</v>
      </c>
      <c r="G168" s="1" t="s">
        <v>18</v>
      </c>
      <c r="H168" s="1" t="s">
        <v>123</v>
      </c>
      <c r="I168" s="1" t="s">
        <v>92</v>
      </c>
      <c r="J168" s="2">
        <f>20548915+946112</f>
        <v>21495027</v>
      </c>
      <c r="K168" s="2">
        <f t="shared" ref="K168:N168" si="91">20548915+946112</f>
        <v>21495027</v>
      </c>
      <c r="L168" s="2"/>
      <c r="M168" s="2">
        <f t="shared" si="72"/>
        <v>21495027</v>
      </c>
      <c r="N168" s="2">
        <f t="shared" si="91"/>
        <v>21495027</v>
      </c>
      <c r="O168" s="435"/>
      <c r="P168" s="2">
        <f t="shared" si="73"/>
        <v>21495027</v>
      </c>
    </row>
    <row r="169" spans="1:16" s="15" customFormat="1" ht="37.5" customHeight="1" x14ac:dyDescent="0.25">
      <c r="A169" s="583" t="s">
        <v>124</v>
      </c>
      <c r="B169" s="583"/>
      <c r="C169" s="365"/>
      <c r="D169" s="365"/>
      <c r="E169" s="289">
        <v>852</v>
      </c>
      <c r="F169" s="1" t="s">
        <v>37</v>
      </c>
      <c r="G169" s="1" t="s">
        <v>18</v>
      </c>
      <c r="H169" s="1" t="s">
        <v>125</v>
      </c>
      <c r="I169" s="1"/>
      <c r="J169" s="2">
        <f t="shared" ref="J169:N170" si="92">J170</f>
        <v>624000</v>
      </c>
      <c r="K169" s="2">
        <f t="shared" si="92"/>
        <v>624000</v>
      </c>
      <c r="L169" s="2"/>
      <c r="M169" s="2">
        <f t="shared" si="72"/>
        <v>624000</v>
      </c>
      <c r="N169" s="2">
        <f t="shared" si="92"/>
        <v>624000</v>
      </c>
      <c r="O169" s="435"/>
      <c r="P169" s="2">
        <f t="shared" si="73"/>
        <v>624000</v>
      </c>
    </row>
    <row r="170" spans="1:16" s="15" customFormat="1" ht="24" x14ac:dyDescent="0.25">
      <c r="A170" s="365"/>
      <c r="B170" s="356" t="s">
        <v>95</v>
      </c>
      <c r="C170" s="365"/>
      <c r="D170" s="365"/>
      <c r="E170" s="289">
        <v>852</v>
      </c>
      <c r="F170" s="1" t="s">
        <v>37</v>
      </c>
      <c r="G170" s="1" t="s">
        <v>18</v>
      </c>
      <c r="H170" s="1" t="s">
        <v>125</v>
      </c>
      <c r="I170" s="1" t="s">
        <v>90</v>
      </c>
      <c r="J170" s="2">
        <f t="shared" si="92"/>
        <v>624000</v>
      </c>
      <c r="K170" s="2">
        <f t="shared" si="92"/>
        <v>624000</v>
      </c>
      <c r="L170" s="2"/>
      <c r="M170" s="2">
        <f t="shared" si="72"/>
        <v>624000</v>
      </c>
      <c r="N170" s="2">
        <f t="shared" si="92"/>
        <v>624000</v>
      </c>
      <c r="O170" s="435"/>
      <c r="P170" s="2">
        <f t="shared" si="73"/>
        <v>624000</v>
      </c>
    </row>
    <row r="171" spans="1:16" s="15" customFormat="1" ht="36" x14ac:dyDescent="0.25">
      <c r="A171" s="365"/>
      <c r="B171" s="356" t="s">
        <v>91</v>
      </c>
      <c r="C171" s="365"/>
      <c r="D171" s="365"/>
      <c r="E171" s="289">
        <v>852</v>
      </c>
      <c r="F171" s="1" t="s">
        <v>37</v>
      </c>
      <c r="G171" s="1" t="s">
        <v>18</v>
      </c>
      <c r="H171" s="1" t="s">
        <v>125</v>
      </c>
      <c r="I171" s="1" t="s">
        <v>92</v>
      </c>
      <c r="J171" s="2">
        <v>624000</v>
      </c>
      <c r="K171" s="2">
        <v>624000</v>
      </c>
      <c r="L171" s="2"/>
      <c r="M171" s="2">
        <f t="shared" si="72"/>
        <v>624000</v>
      </c>
      <c r="N171" s="2">
        <v>624000</v>
      </c>
      <c r="O171" s="435"/>
      <c r="P171" s="2">
        <f t="shared" si="73"/>
        <v>624000</v>
      </c>
    </row>
    <row r="172" spans="1:16" ht="26.25" customHeight="1" x14ac:dyDescent="0.25">
      <c r="A172" s="583" t="s">
        <v>132</v>
      </c>
      <c r="B172" s="583"/>
      <c r="C172" s="356"/>
      <c r="D172" s="356"/>
      <c r="E172" s="289">
        <v>852</v>
      </c>
      <c r="F172" s="20" t="s">
        <v>37</v>
      </c>
      <c r="G172" s="1" t="s">
        <v>18</v>
      </c>
      <c r="H172" s="20" t="s">
        <v>133</v>
      </c>
      <c r="I172" s="1"/>
      <c r="J172" s="2">
        <f t="shared" ref="J172:N173" si="93">J173</f>
        <v>361000</v>
      </c>
      <c r="K172" s="2">
        <f t="shared" si="93"/>
        <v>50000</v>
      </c>
      <c r="L172" s="2"/>
      <c r="M172" s="2">
        <f t="shared" si="72"/>
        <v>50000</v>
      </c>
      <c r="N172" s="2">
        <f t="shared" si="93"/>
        <v>50000</v>
      </c>
      <c r="O172" s="17"/>
      <c r="P172" s="2">
        <f t="shared" si="73"/>
        <v>50000</v>
      </c>
    </row>
    <row r="173" spans="1:16" ht="24" x14ac:dyDescent="0.25">
      <c r="A173" s="356"/>
      <c r="B173" s="286" t="s">
        <v>95</v>
      </c>
      <c r="C173" s="356"/>
      <c r="D173" s="356"/>
      <c r="E173" s="289">
        <v>852</v>
      </c>
      <c r="F173" s="1" t="s">
        <v>37</v>
      </c>
      <c r="G173" s="1" t="s">
        <v>18</v>
      </c>
      <c r="H173" s="20" t="s">
        <v>133</v>
      </c>
      <c r="I173" s="1" t="s">
        <v>90</v>
      </c>
      <c r="J173" s="2">
        <f t="shared" si="93"/>
        <v>361000</v>
      </c>
      <c r="K173" s="2">
        <f>K174</f>
        <v>50000</v>
      </c>
      <c r="L173" s="2"/>
      <c r="M173" s="2">
        <f t="shared" si="72"/>
        <v>50000</v>
      </c>
      <c r="N173" s="2">
        <f>N174</f>
        <v>50000</v>
      </c>
      <c r="O173" s="17"/>
      <c r="P173" s="2">
        <f t="shared" si="73"/>
        <v>50000</v>
      </c>
    </row>
    <row r="174" spans="1:16" x14ac:dyDescent="0.25">
      <c r="A174" s="356"/>
      <c r="B174" s="286" t="s">
        <v>130</v>
      </c>
      <c r="C174" s="356"/>
      <c r="D174" s="356"/>
      <c r="E174" s="289">
        <v>852</v>
      </c>
      <c r="F174" s="1" t="s">
        <v>37</v>
      </c>
      <c r="G174" s="1" t="s">
        <v>18</v>
      </c>
      <c r="H174" s="20" t="s">
        <v>133</v>
      </c>
      <c r="I174" s="1" t="s">
        <v>131</v>
      </c>
      <c r="J174" s="2">
        <v>361000</v>
      </c>
      <c r="K174" s="2">
        <f>361000-311000</f>
        <v>50000</v>
      </c>
      <c r="L174" s="2"/>
      <c r="M174" s="2">
        <f t="shared" si="72"/>
        <v>50000</v>
      </c>
      <c r="N174" s="2">
        <f>361000-311000</f>
        <v>50000</v>
      </c>
      <c r="O174" s="17"/>
      <c r="P174" s="2">
        <f t="shared" si="73"/>
        <v>50000</v>
      </c>
    </row>
    <row r="175" spans="1:16" s="15" customFormat="1" x14ac:dyDescent="0.25">
      <c r="A175" s="589" t="s">
        <v>84</v>
      </c>
      <c r="B175" s="589"/>
      <c r="C175" s="365"/>
      <c r="D175" s="365"/>
      <c r="E175" s="289">
        <v>852</v>
      </c>
      <c r="F175" s="12" t="s">
        <v>37</v>
      </c>
      <c r="G175" s="12" t="s">
        <v>74</v>
      </c>
      <c r="H175" s="12"/>
      <c r="I175" s="12"/>
      <c r="J175" s="14">
        <f>J176+J179+J182+J185+J188+J191</f>
        <v>93548636</v>
      </c>
      <c r="K175" s="14">
        <f>K176+K179+K182+K185+K188+K191</f>
        <v>99609636</v>
      </c>
      <c r="L175" s="14"/>
      <c r="M175" s="2">
        <f t="shared" si="72"/>
        <v>99609636</v>
      </c>
      <c r="N175" s="14">
        <f>N176+N179+N182+N185+N188+N191</f>
        <v>99609636</v>
      </c>
      <c r="O175" s="435"/>
      <c r="P175" s="2">
        <f t="shared" si="73"/>
        <v>99609636</v>
      </c>
    </row>
    <row r="176" spans="1:16" x14ac:dyDescent="0.25">
      <c r="A176" s="583" t="s">
        <v>135</v>
      </c>
      <c r="B176" s="583"/>
      <c r="C176" s="356"/>
      <c r="D176" s="356"/>
      <c r="E176" s="289">
        <v>852</v>
      </c>
      <c r="F176" s="1" t="s">
        <v>37</v>
      </c>
      <c r="G176" s="1" t="s">
        <v>74</v>
      </c>
      <c r="H176" s="1" t="s">
        <v>136</v>
      </c>
      <c r="I176" s="1"/>
      <c r="J176" s="2">
        <f t="shared" ref="J176:N177" si="94">J177</f>
        <v>13985000</v>
      </c>
      <c r="K176" s="2">
        <f t="shared" si="94"/>
        <v>18485000</v>
      </c>
      <c r="L176" s="2"/>
      <c r="M176" s="2">
        <f t="shared" si="72"/>
        <v>18485000</v>
      </c>
      <c r="N176" s="2">
        <f t="shared" si="94"/>
        <v>18485000</v>
      </c>
      <c r="O176" s="17"/>
      <c r="P176" s="2">
        <f t="shared" si="73"/>
        <v>18485000</v>
      </c>
    </row>
    <row r="177" spans="1:16" ht="24.75" customHeight="1" x14ac:dyDescent="0.25">
      <c r="A177" s="356"/>
      <c r="B177" s="356" t="s">
        <v>95</v>
      </c>
      <c r="C177" s="356"/>
      <c r="D177" s="356"/>
      <c r="E177" s="289">
        <v>852</v>
      </c>
      <c r="F177" s="1" t="s">
        <v>37</v>
      </c>
      <c r="G177" s="20" t="s">
        <v>74</v>
      </c>
      <c r="H177" s="1" t="s">
        <v>136</v>
      </c>
      <c r="I177" s="1" t="s">
        <v>90</v>
      </c>
      <c r="J177" s="2">
        <f t="shared" si="94"/>
        <v>13985000</v>
      </c>
      <c r="K177" s="2">
        <f t="shared" si="94"/>
        <v>18485000</v>
      </c>
      <c r="L177" s="2"/>
      <c r="M177" s="2">
        <f t="shared" si="72"/>
        <v>18485000</v>
      </c>
      <c r="N177" s="2">
        <f t="shared" si="94"/>
        <v>18485000</v>
      </c>
      <c r="O177" s="17"/>
      <c r="P177" s="2">
        <f t="shared" si="73"/>
        <v>18485000</v>
      </c>
    </row>
    <row r="178" spans="1:16" ht="36" x14ac:dyDescent="0.25">
      <c r="A178" s="356"/>
      <c r="B178" s="356" t="s">
        <v>91</v>
      </c>
      <c r="C178" s="356"/>
      <c r="D178" s="356"/>
      <c r="E178" s="289">
        <v>852</v>
      </c>
      <c r="F178" s="1" t="s">
        <v>37</v>
      </c>
      <c r="G178" s="20" t="s">
        <v>74</v>
      </c>
      <c r="H178" s="1" t="s">
        <v>136</v>
      </c>
      <c r="I178" s="1" t="s">
        <v>92</v>
      </c>
      <c r="J178" s="2">
        <v>13985000</v>
      </c>
      <c r="K178" s="2">
        <f>13985000+4500000</f>
        <v>18485000</v>
      </c>
      <c r="L178" s="2"/>
      <c r="M178" s="2">
        <f t="shared" si="72"/>
        <v>18485000</v>
      </c>
      <c r="N178" s="2">
        <f>13985000+4500000</f>
        <v>18485000</v>
      </c>
      <c r="O178" s="17"/>
      <c r="P178" s="2">
        <f t="shared" si="73"/>
        <v>18485000</v>
      </c>
    </row>
    <row r="179" spans="1:16" x14ac:dyDescent="0.25">
      <c r="A179" s="583" t="s">
        <v>137</v>
      </c>
      <c r="B179" s="583"/>
      <c r="C179" s="356"/>
      <c r="D179" s="356"/>
      <c r="E179" s="289">
        <v>852</v>
      </c>
      <c r="F179" s="20" t="s">
        <v>37</v>
      </c>
      <c r="G179" s="20" t="s">
        <v>74</v>
      </c>
      <c r="H179" s="20" t="s">
        <v>138</v>
      </c>
      <c r="I179" s="1"/>
      <c r="J179" s="2">
        <f t="shared" ref="J179:N180" si="95">J180</f>
        <v>8331600</v>
      </c>
      <c r="K179" s="2">
        <f t="shared" si="95"/>
        <v>9581600</v>
      </c>
      <c r="L179" s="2"/>
      <c r="M179" s="2">
        <f t="shared" si="72"/>
        <v>9581600</v>
      </c>
      <c r="N179" s="2">
        <f t="shared" si="95"/>
        <v>9581600</v>
      </c>
      <c r="O179" s="17"/>
      <c r="P179" s="2">
        <f t="shared" si="73"/>
        <v>9581600</v>
      </c>
    </row>
    <row r="180" spans="1:16" ht="22.5" customHeight="1" x14ac:dyDescent="0.25">
      <c r="A180" s="356"/>
      <c r="B180" s="356" t="s">
        <v>95</v>
      </c>
      <c r="C180" s="356"/>
      <c r="D180" s="356"/>
      <c r="E180" s="289">
        <v>852</v>
      </c>
      <c r="F180" s="1" t="s">
        <v>37</v>
      </c>
      <c r="G180" s="20" t="s">
        <v>74</v>
      </c>
      <c r="H180" s="20" t="s">
        <v>138</v>
      </c>
      <c r="I180" s="1" t="s">
        <v>90</v>
      </c>
      <c r="J180" s="2">
        <f t="shared" si="95"/>
        <v>8331600</v>
      </c>
      <c r="K180" s="2">
        <f t="shared" si="95"/>
        <v>9581600</v>
      </c>
      <c r="L180" s="2"/>
      <c r="M180" s="2">
        <f t="shared" si="72"/>
        <v>9581600</v>
      </c>
      <c r="N180" s="2">
        <f t="shared" si="95"/>
        <v>9581600</v>
      </c>
      <c r="O180" s="17"/>
      <c r="P180" s="2">
        <f t="shared" si="73"/>
        <v>9581600</v>
      </c>
    </row>
    <row r="181" spans="1:16" ht="35.25" customHeight="1" x14ac:dyDescent="0.25">
      <c r="A181" s="356"/>
      <c r="B181" s="356" t="s">
        <v>91</v>
      </c>
      <c r="C181" s="356"/>
      <c r="D181" s="356"/>
      <c r="E181" s="289">
        <v>852</v>
      </c>
      <c r="F181" s="1" t="s">
        <v>37</v>
      </c>
      <c r="G181" s="20" t="s">
        <v>74</v>
      </c>
      <c r="H181" s="20" t="s">
        <v>138</v>
      </c>
      <c r="I181" s="1" t="s">
        <v>92</v>
      </c>
      <c r="J181" s="2">
        <v>8331600</v>
      </c>
      <c r="K181" s="2">
        <f>8331600+1250000</f>
        <v>9581600</v>
      </c>
      <c r="L181" s="2"/>
      <c r="M181" s="2">
        <f t="shared" si="72"/>
        <v>9581600</v>
      </c>
      <c r="N181" s="2">
        <f>8331600+1250000</f>
        <v>9581600</v>
      </c>
      <c r="O181" s="17"/>
      <c r="P181" s="2">
        <f t="shared" si="73"/>
        <v>9581600</v>
      </c>
    </row>
    <row r="182" spans="1:16" s="15" customFormat="1" ht="48.75" customHeight="1" x14ac:dyDescent="0.25">
      <c r="A182" s="583" t="s">
        <v>139</v>
      </c>
      <c r="B182" s="583"/>
      <c r="C182" s="365"/>
      <c r="D182" s="365"/>
      <c r="E182" s="289">
        <v>852</v>
      </c>
      <c r="F182" s="1" t="s">
        <v>37</v>
      </c>
      <c r="G182" s="1" t="s">
        <v>74</v>
      </c>
      <c r="H182" s="20" t="s">
        <v>140</v>
      </c>
      <c r="I182" s="1"/>
      <c r="J182" s="2">
        <f t="shared" ref="J182:N183" si="96">J183</f>
        <v>66777336</v>
      </c>
      <c r="K182" s="2">
        <f t="shared" si="96"/>
        <v>66777336</v>
      </c>
      <c r="L182" s="2"/>
      <c r="M182" s="2">
        <f t="shared" si="72"/>
        <v>66777336</v>
      </c>
      <c r="N182" s="2">
        <f t="shared" si="96"/>
        <v>66777336</v>
      </c>
      <c r="O182" s="435"/>
      <c r="P182" s="2">
        <f t="shared" si="73"/>
        <v>66777336</v>
      </c>
    </row>
    <row r="183" spans="1:16" s="15" customFormat="1" ht="24" customHeight="1" x14ac:dyDescent="0.25">
      <c r="A183" s="356"/>
      <c r="B183" s="356" t="s">
        <v>95</v>
      </c>
      <c r="C183" s="365"/>
      <c r="D183" s="365"/>
      <c r="E183" s="289">
        <v>852</v>
      </c>
      <c r="F183" s="1" t="s">
        <v>37</v>
      </c>
      <c r="G183" s="1" t="s">
        <v>74</v>
      </c>
      <c r="H183" s="1" t="s">
        <v>140</v>
      </c>
      <c r="I183" s="1" t="s">
        <v>90</v>
      </c>
      <c r="J183" s="2">
        <f t="shared" si="96"/>
        <v>66777336</v>
      </c>
      <c r="K183" s="2">
        <f t="shared" si="96"/>
        <v>66777336</v>
      </c>
      <c r="L183" s="2"/>
      <c r="M183" s="2">
        <f t="shared" si="72"/>
        <v>66777336</v>
      </c>
      <c r="N183" s="2">
        <f t="shared" si="96"/>
        <v>66777336</v>
      </c>
      <c r="O183" s="435"/>
      <c r="P183" s="2">
        <f t="shared" si="73"/>
        <v>66777336</v>
      </c>
    </row>
    <row r="184" spans="1:16" s="15" customFormat="1" ht="36.75" customHeight="1" x14ac:dyDescent="0.25">
      <c r="A184" s="356"/>
      <c r="B184" s="356" t="s">
        <v>91</v>
      </c>
      <c r="C184" s="365"/>
      <c r="D184" s="365"/>
      <c r="E184" s="289">
        <v>852</v>
      </c>
      <c r="F184" s="1" t="s">
        <v>37</v>
      </c>
      <c r="G184" s="1" t="s">
        <v>74</v>
      </c>
      <c r="H184" s="1" t="s">
        <v>140</v>
      </c>
      <c r="I184" s="1" t="s">
        <v>92</v>
      </c>
      <c r="J184" s="2">
        <v>66777336</v>
      </c>
      <c r="K184" s="2">
        <v>66777336</v>
      </c>
      <c r="L184" s="2"/>
      <c r="M184" s="2">
        <f t="shared" si="72"/>
        <v>66777336</v>
      </c>
      <c r="N184" s="2">
        <v>66777336</v>
      </c>
      <c r="O184" s="435"/>
      <c r="P184" s="2">
        <f t="shared" si="73"/>
        <v>66777336</v>
      </c>
    </row>
    <row r="185" spans="1:16" s="15" customFormat="1" ht="37.5" customHeight="1" x14ac:dyDescent="0.25">
      <c r="A185" s="583" t="s">
        <v>124</v>
      </c>
      <c r="B185" s="583"/>
      <c r="C185" s="365"/>
      <c r="D185" s="365"/>
      <c r="E185" s="289">
        <v>852</v>
      </c>
      <c r="F185" s="1" t="s">
        <v>37</v>
      </c>
      <c r="G185" s="1" t="s">
        <v>74</v>
      </c>
      <c r="H185" s="1" t="s">
        <v>125</v>
      </c>
      <c r="I185" s="1"/>
      <c r="J185" s="2">
        <f t="shared" ref="J185:N186" si="97">J186</f>
        <v>2667200</v>
      </c>
      <c r="K185" s="2">
        <f t="shared" si="97"/>
        <v>2667200</v>
      </c>
      <c r="L185" s="2"/>
      <c r="M185" s="2">
        <f t="shared" si="72"/>
        <v>2667200</v>
      </c>
      <c r="N185" s="2">
        <f t="shared" si="97"/>
        <v>2667200</v>
      </c>
      <c r="O185" s="435"/>
      <c r="P185" s="2">
        <f t="shared" si="73"/>
        <v>2667200</v>
      </c>
    </row>
    <row r="186" spans="1:16" s="15" customFormat="1" ht="24.75" customHeight="1" x14ac:dyDescent="0.25">
      <c r="A186" s="365"/>
      <c r="B186" s="286" t="s">
        <v>95</v>
      </c>
      <c r="C186" s="28"/>
      <c r="D186" s="28"/>
      <c r="E186" s="29">
        <v>852</v>
      </c>
      <c r="F186" s="30" t="s">
        <v>37</v>
      </c>
      <c r="G186" s="1" t="s">
        <v>74</v>
      </c>
      <c r="H186" s="30" t="s">
        <v>125</v>
      </c>
      <c r="I186" s="1" t="s">
        <v>90</v>
      </c>
      <c r="J186" s="2">
        <f t="shared" si="97"/>
        <v>2667200</v>
      </c>
      <c r="K186" s="2">
        <f t="shared" si="97"/>
        <v>2667200</v>
      </c>
      <c r="L186" s="2"/>
      <c r="M186" s="2">
        <f t="shared" si="72"/>
        <v>2667200</v>
      </c>
      <c r="N186" s="2">
        <f t="shared" si="97"/>
        <v>2667200</v>
      </c>
      <c r="O186" s="435"/>
      <c r="P186" s="2">
        <f t="shared" si="73"/>
        <v>2667200</v>
      </c>
    </row>
    <row r="187" spans="1:16" s="15" customFormat="1" ht="36" customHeight="1" x14ac:dyDescent="0.25">
      <c r="A187" s="365"/>
      <c r="B187" s="356" t="s">
        <v>91</v>
      </c>
      <c r="C187" s="365"/>
      <c r="D187" s="365"/>
      <c r="E187" s="289">
        <v>852</v>
      </c>
      <c r="F187" s="1" t="s">
        <v>37</v>
      </c>
      <c r="G187" s="20" t="s">
        <v>74</v>
      </c>
      <c r="H187" s="1" t="s">
        <v>125</v>
      </c>
      <c r="I187" s="1" t="s">
        <v>92</v>
      </c>
      <c r="J187" s="2">
        <v>2667200</v>
      </c>
      <c r="K187" s="2">
        <v>2667200</v>
      </c>
      <c r="L187" s="2"/>
      <c r="M187" s="2">
        <f t="shared" si="72"/>
        <v>2667200</v>
      </c>
      <c r="N187" s="2">
        <v>2667200</v>
      </c>
      <c r="O187" s="435"/>
      <c r="P187" s="2">
        <f t="shared" si="73"/>
        <v>2667200</v>
      </c>
    </row>
    <row r="188" spans="1:16" ht="15" customHeight="1" x14ac:dyDescent="0.25">
      <c r="A188" s="583" t="s">
        <v>128</v>
      </c>
      <c r="B188" s="583"/>
      <c r="C188" s="356"/>
      <c r="D188" s="356"/>
      <c r="E188" s="289">
        <v>852</v>
      </c>
      <c r="F188" s="1" t="s">
        <v>37</v>
      </c>
      <c r="G188" s="20" t="s">
        <v>74</v>
      </c>
      <c r="H188" s="1" t="s">
        <v>129</v>
      </c>
      <c r="I188" s="1"/>
      <c r="J188" s="2">
        <f t="shared" ref="J188:N189" si="98">J189</f>
        <v>1110000</v>
      </c>
      <c r="K188" s="2">
        <f t="shared" si="98"/>
        <v>1421000</v>
      </c>
      <c r="L188" s="2"/>
      <c r="M188" s="2">
        <f t="shared" si="72"/>
        <v>1421000</v>
      </c>
      <c r="N188" s="2">
        <f t="shared" si="98"/>
        <v>1421000</v>
      </c>
      <c r="O188" s="17"/>
      <c r="P188" s="2">
        <f t="shared" si="73"/>
        <v>1421000</v>
      </c>
    </row>
    <row r="189" spans="1:16" ht="24.75" customHeight="1" x14ac:dyDescent="0.25">
      <c r="A189" s="356"/>
      <c r="B189" s="286" t="s">
        <v>95</v>
      </c>
      <c r="C189" s="356"/>
      <c r="D189" s="356"/>
      <c r="E189" s="289">
        <v>852</v>
      </c>
      <c r="F189" s="1" t="s">
        <v>37</v>
      </c>
      <c r="G189" s="20" t="s">
        <v>74</v>
      </c>
      <c r="H189" s="1" t="s">
        <v>129</v>
      </c>
      <c r="I189" s="1" t="s">
        <v>90</v>
      </c>
      <c r="J189" s="2">
        <f t="shared" si="98"/>
        <v>1110000</v>
      </c>
      <c r="K189" s="2">
        <f t="shared" si="98"/>
        <v>1421000</v>
      </c>
      <c r="L189" s="2"/>
      <c r="M189" s="2">
        <f t="shared" si="72"/>
        <v>1421000</v>
      </c>
      <c r="N189" s="2">
        <f t="shared" si="98"/>
        <v>1421000</v>
      </c>
      <c r="O189" s="17"/>
      <c r="P189" s="2">
        <f t="shared" si="73"/>
        <v>1421000</v>
      </c>
    </row>
    <row r="190" spans="1:16" x14ac:dyDescent="0.25">
      <c r="A190" s="356"/>
      <c r="B190" s="286" t="s">
        <v>130</v>
      </c>
      <c r="C190" s="356"/>
      <c r="D190" s="356"/>
      <c r="E190" s="289">
        <v>852</v>
      </c>
      <c r="F190" s="1" t="s">
        <v>37</v>
      </c>
      <c r="G190" s="20" t="s">
        <v>74</v>
      </c>
      <c r="H190" s="1" t="s">
        <v>129</v>
      </c>
      <c r="I190" s="1" t="s">
        <v>131</v>
      </c>
      <c r="J190" s="2">
        <f>1110000</f>
        <v>1110000</v>
      </c>
      <c r="K190" s="2">
        <f>1110000+311000</f>
        <v>1421000</v>
      </c>
      <c r="L190" s="2"/>
      <c r="M190" s="2">
        <f t="shared" si="72"/>
        <v>1421000</v>
      </c>
      <c r="N190" s="2">
        <f>1110000+311000</f>
        <v>1421000</v>
      </c>
      <c r="O190" s="17"/>
      <c r="P190" s="2">
        <f t="shared" si="73"/>
        <v>1421000</v>
      </c>
    </row>
    <row r="191" spans="1:16" ht="26.25" customHeight="1" x14ac:dyDescent="0.25">
      <c r="A191" s="583" t="s">
        <v>132</v>
      </c>
      <c r="B191" s="583"/>
      <c r="C191" s="356"/>
      <c r="D191" s="356"/>
      <c r="E191" s="289">
        <v>852</v>
      </c>
      <c r="F191" s="20" t="s">
        <v>37</v>
      </c>
      <c r="G191" s="20" t="s">
        <v>74</v>
      </c>
      <c r="H191" s="20" t="s">
        <v>133</v>
      </c>
      <c r="I191" s="1"/>
      <c r="J191" s="2">
        <f t="shared" ref="J191:N192" si="99">J192</f>
        <v>677500</v>
      </c>
      <c r="K191" s="2">
        <f t="shared" si="99"/>
        <v>677500</v>
      </c>
      <c r="L191" s="2"/>
      <c r="M191" s="2">
        <f t="shared" si="72"/>
        <v>677500</v>
      </c>
      <c r="N191" s="2">
        <f t="shared" si="99"/>
        <v>677500</v>
      </c>
      <c r="O191" s="17"/>
      <c r="P191" s="2">
        <f t="shared" si="73"/>
        <v>677500</v>
      </c>
    </row>
    <row r="192" spans="1:16" ht="27" customHeight="1" x14ac:dyDescent="0.25">
      <c r="A192" s="356"/>
      <c r="B192" s="286" t="s">
        <v>95</v>
      </c>
      <c r="C192" s="356"/>
      <c r="D192" s="356"/>
      <c r="E192" s="289">
        <v>852</v>
      </c>
      <c r="F192" s="1" t="s">
        <v>37</v>
      </c>
      <c r="G192" s="20" t="s">
        <v>74</v>
      </c>
      <c r="H192" s="20" t="s">
        <v>133</v>
      </c>
      <c r="I192" s="1" t="s">
        <v>90</v>
      </c>
      <c r="J192" s="2">
        <f t="shared" si="99"/>
        <v>677500</v>
      </c>
      <c r="K192" s="2">
        <f t="shared" si="99"/>
        <v>677500</v>
      </c>
      <c r="L192" s="2"/>
      <c r="M192" s="2">
        <f t="shared" si="72"/>
        <v>677500</v>
      </c>
      <c r="N192" s="2">
        <f t="shared" si="99"/>
        <v>677500</v>
      </c>
      <c r="O192" s="17"/>
      <c r="P192" s="2">
        <f t="shared" si="73"/>
        <v>677500</v>
      </c>
    </row>
    <row r="193" spans="1:16" x14ac:dyDescent="0.25">
      <c r="A193" s="356"/>
      <c r="B193" s="286" t="s">
        <v>130</v>
      </c>
      <c r="C193" s="356"/>
      <c r="D193" s="356"/>
      <c r="E193" s="289">
        <v>852</v>
      </c>
      <c r="F193" s="1" t="s">
        <v>37</v>
      </c>
      <c r="G193" s="20" t="s">
        <v>74</v>
      </c>
      <c r="H193" s="20" t="s">
        <v>133</v>
      </c>
      <c r="I193" s="1" t="s">
        <v>131</v>
      </c>
      <c r="J193" s="2">
        <v>677500</v>
      </c>
      <c r="K193" s="2">
        <v>677500</v>
      </c>
      <c r="L193" s="2"/>
      <c r="M193" s="2">
        <f t="shared" si="72"/>
        <v>677500</v>
      </c>
      <c r="N193" s="2">
        <v>677500</v>
      </c>
      <c r="O193" s="17"/>
      <c r="P193" s="2">
        <f t="shared" si="73"/>
        <v>677500</v>
      </c>
    </row>
    <row r="194" spans="1:16" x14ac:dyDescent="0.25">
      <c r="A194" s="589" t="s">
        <v>141</v>
      </c>
      <c r="B194" s="589"/>
      <c r="C194" s="365"/>
      <c r="D194" s="365"/>
      <c r="E194" s="289">
        <v>852</v>
      </c>
      <c r="F194" s="12" t="s">
        <v>37</v>
      </c>
      <c r="G194" s="12" t="s">
        <v>37</v>
      </c>
      <c r="H194" s="12"/>
      <c r="I194" s="12"/>
      <c r="J194" s="14">
        <f t="shared" ref="J194:N196" si="100">J195</f>
        <v>122200</v>
      </c>
      <c r="K194" s="14">
        <f t="shared" si="100"/>
        <v>122200</v>
      </c>
      <c r="L194" s="14"/>
      <c r="M194" s="2">
        <f t="shared" si="72"/>
        <v>122200</v>
      </c>
      <c r="N194" s="14">
        <f t="shared" si="100"/>
        <v>122200</v>
      </c>
      <c r="O194" s="17"/>
      <c r="P194" s="2">
        <f t="shared" si="73"/>
        <v>122200</v>
      </c>
    </row>
    <row r="195" spans="1:16" ht="26.25" customHeight="1" x14ac:dyDescent="0.25">
      <c r="A195" s="583" t="s">
        <v>142</v>
      </c>
      <c r="B195" s="583"/>
      <c r="C195" s="356"/>
      <c r="D195" s="356"/>
      <c r="E195" s="289">
        <v>852</v>
      </c>
      <c r="F195" s="1" t="s">
        <v>37</v>
      </c>
      <c r="G195" s="1" t="s">
        <v>37</v>
      </c>
      <c r="H195" s="20" t="s">
        <v>557</v>
      </c>
      <c r="I195" s="1"/>
      <c r="J195" s="2">
        <f t="shared" si="100"/>
        <v>122200</v>
      </c>
      <c r="K195" s="2">
        <f t="shared" si="100"/>
        <v>122200</v>
      </c>
      <c r="L195" s="2"/>
      <c r="M195" s="2">
        <f t="shared" si="72"/>
        <v>122200</v>
      </c>
      <c r="N195" s="2">
        <f t="shared" si="100"/>
        <v>122200</v>
      </c>
      <c r="O195" s="17"/>
      <c r="P195" s="2">
        <f t="shared" si="73"/>
        <v>122200</v>
      </c>
    </row>
    <row r="196" spans="1:16" ht="14.25" customHeight="1" x14ac:dyDescent="0.25">
      <c r="A196" s="17"/>
      <c r="B196" s="356" t="s">
        <v>28</v>
      </c>
      <c r="C196" s="355"/>
      <c r="D196" s="355"/>
      <c r="E196" s="289">
        <v>852</v>
      </c>
      <c r="F196" s="1" t="s">
        <v>37</v>
      </c>
      <c r="G196" s="1" t="s">
        <v>37</v>
      </c>
      <c r="H196" s="20" t="s">
        <v>557</v>
      </c>
      <c r="I196" s="1" t="s">
        <v>29</v>
      </c>
      <c r="J196" s="2">
        <f t="shared" si="100"/>
        <v>122200</v>
      </c>
      <c r="K196" s="2">
        <f t="shared" si="100"/>
        <v>122200</v>
      </c>
      <c r="L196" s="2"/>
      <c r="M196" s="2">
        <f t="shared" si="72"/>
        <v>122200</v>
      </c>
      <c r="N196" s="2">
        <f t="shared" si="100"/>
        <v>122200</v>
      </c>
      <c r="O196" s="17"/>
      <c r="P196" s="2">
        <f t="shared" si="73"/>
        <v>122200</v>
      </c>
    </row>
    <row r="197" spans="1:16" ht="24" x14ac:dyDescent="0.25">
      <c r="A197" s="17"/>
      <c r="B197" s="356" t="s">
        <v>30</v>
      </c>
      <c r="C197" s="356"/>
      <c r="D197" s="356"/>
      <c r="E197" s="289">
        <v>852</v>
      </c>
      <c r="F197" s="1" t="s">
        <v>37</v>
      </c>
      <c r="G197" s="1" t="s">
        <v>37</v>
      </c>
      <c r="H197" s="20" t="s">
        <v>557</v>
      </c>
      <c r="I197" s="1" t="s">
        <v>31</v>
      </c>
      <c r="J197" s="2">
        <v>122200</v>
      </c>
      <c r="K197" s="2">
        <v>122200</v>
      </c>
      <c r="L197" s="2"/>
      <c r="M197" s="2">
        <f t="shared" si="72"/>
        <v>122200</v>
      </c>
      <c r="N197" s="2">
        <v>122200</v>
      </c>
      <c r="O197" s="17"/>
      <c r="P197" s="2">
        <f t="shared" si="73"/>
        <v>122200</v>
      </c>
    </row>
    <row r="198" spans="1:16" x14ac:dyDescent="0.25">
      <c r="A198" s="589" t="s">
        <v>143</v>
      </c>
      <c r="B198" s="589"/>
      <c r="C198" s="365"/>
      <c r="D198" s="365"/>
      <c r="E198" s="289">
        <v>852</v>
      </c>
      <c r="F198" s="12" t="s">
        <v>37</v>
      </c>
      <c r="G198" s="12" t="s">
        <v>58</v>
      </c>
      <c r="H198" s="12"/>
      <c r="I198" s="12"/>
      <c r="J198" s="14">
        <f>J199+J202+J211</f>
        <v>12067360</v>
      </c>
      <c r="K198" s="14">
        <f>K199+K202+K211</f>
        <v>12055960</v>
      </c>
      <c r="L198" s="14"/>
      <c r="M198" s="2">
        <f t="shared" si="72"/>
        <v>12055960</v>
      </c>
      <c r="N198" s="14">
        <f>N199+N202+N211</f>
        <v>12055960</v>
      </c>
      <c r="O198" s="17"/>
      <c r="P198" s="2">
        <f t="shared" si="73"/>
        <v>12055960</v>
      </c>
    </row>
    <row r="199" spans="1:16" ht="25.5" customHeight="1" x14ac:dyDescent="0.25">
      <c r="A199" s="583" t="s">
        <v>27</v>
      </c>
      <c r="B199" s="583"/>
      <c r="C199" s="289"/>
      <c r="D199" s="289"/>
      <c r="E199" s="289">
        <v>852</v>
      </c>
      <c r="F199" s="1" t="s">
        <v>37</v>
      </c>
      <c r="G199" s="1" t="s">
        <v>58</v>
      </c>
      <c r="H199" s="1" t="s">
        <v>561</v>
      </c>
      <c r="I199" s="1"/>
      <c r="J199" s="2">
        <f t="shared" ref="J199:N200" si="101">J200</f>
        <v>836500</v>
      </c>
      <c r="K199" s="2">
        <f t="shared" si="101"/>
        <v>825100</v>
      </c>
      <c r="L199" s="2"/>
      <c r="M199" s="2">
        <f t="shared" si="72"/>
        <v>825100</v>
      </c>
      <c r="N199" s="2">
        <f t="shared" si="101"/>
        <v>825100</v>
      </c>
      <c r="O199" s="17"/>
      <c r="P199" s="2">
        <f t="shared" si="73"/>
        <v>825100</v>
      </c>
    </row>
    <row r="200" spans="1:16" ht="36.75" customHeight="1" x14ac:dyDescent="0.25">
      <c r="A200" s="17"/>
      <c r="B200" s="355" t="s">
        <v>22</v>
      </c>
      <c r="C200" s="289"/>
      <c r="D200" s="289"/>
      <c r="E200" s="289">
        <v>852</v>
      </c>
      <c r="F200" s="1" t="s">
        <v>37</v>
      </c>
      <c r="G200" s="1" t="s">
        <v>58</v>
      </c>
      <c r="H200" s="1" t="s">
        <v>561</v>
      </c>
      <c r="I200" s="1" t="s">
        <v>24</v>
      </c>
      <c r="J200" s="2">
        <f t="shared" si="101"/>
        <v>836500</v>
      </c>
      <c r="K200" s="2">
        <f t="shared" si="101"/>
        <v>825100</v>
      </c>
      <c r="L200" s="2"/>
      <c r="M200" s="2">
        <f t="shared" si="72"/>
        <v>825100</v>
      </c>
      <c r="N200" s="2">
        <f t="shared" si="101"/>
        <v>825100</v>
      </c>
      <c r="O200" s="17"/>
      <c r="P200" s="2">
        <f t="shared" si="73"/>
        <v>825100</v>
      </c>
    </row>
    <row r="201" spans="1:16" ht="15.75" customHeight="1" x14ac:dyDescent="0.25">
      <c r="A201" s="17"/>
      <c r="B201" s="355" t="s">
        <v>25</v>
      </c>
      <c r="C201" s="289"/>
      <c r="D201" s="289"/>
      <c r="E201" s="289">
        <v>852</v>
      </c>
      <c r="F201" s="1" t="s">
        <v>37</v>
      </c>
      <c r="G201" s="1" t="s">
        <v>58</v>
      </c>
      <c r="H201" s="1" t="s">
        <v>561</v>
      </c>
      <c r="I201" s="1" t="s">
        <v>26</v>
      </c>
      <c r="J201" s="2">
        <f>825100+11400</f>
        <v>836500</v>
      </c>
      <c r="K201" s="2">
        <v>825100</v>
      </c>
      <c r="L201" s="2"/>
      <c r="M201" s="2">
        <f t="shared" si="72"/>
        <v>825100</v>
      </c>
      <c r="N201" s="2">
        <v>825100</v>
      </c>
      <c r="O201" s="17"/>
      <c r="P201" s="2">
        <f t="shared" si="73"/>
        <v>825100</v>
      </c>
    </row>
    <row r="202" spans="1:16" x14ac:dyDescent="0.25">
      <c r="A202" s="583" t="s">
        <v>144</v>
      </c>
      <c r="B202" s="583"/>
      <c r="C202" s="356"/>
      <c r="D202" s="356"/>
      <c r="E202" s="289">
        <v>852</v>
      </c>
      <c r="F202" s="1" t="s">
        <v>37</v>
      </c>
      <c r="G202" s="1" t="s">
        <v>58</v>
      </c>
      <c r="H202" s="1" t="s">
        <v>145</v>
      </c>
      <c r="I202" s="1"/>
      <c r="J202" s="2">
        <f>J203+J205+J207+J209</f>
        <v>9831800</v>
      </c>
      <c r="K202" s="2">
        <f t="shared" ref="K202:N202" si="102">K203+K205+K207+K209</f>
        <v>9831800</v>
      </c>
      <c r="L202" s="2"/>
      <c r="M202" s="2">
        <f t="shared" si="72"/>
        <v>9831800</v>
      </c>
      <c r="N202" s="2">
        <f t="shared" si="102"/>
        <v>9831800</v>
      </c>
      <c r="O202" s="17"/>
      <c r="P202" s="2">
        <f t="shared" si="73"/>
        <v>9831800</v>
      </c>
    </row>
    <row r="203" spans="1:16" ht="36.75" customHeight="1" x14ac:dyDescent="0.25">
      <c r="A203" s="17"/>
      <c r="B203" s="355" t="s">
        <v>22</v>
      </c>
      <c r="C203" s="289"/>
      <c r="D203" s="289"/>
      <c r="E203" s="289">
        <v>852</v>
      </c>
      <c r="F203" s="1" t="s">
        <v>37</v>
      </c>
      <c r="G203" s="1" t="s">
        <v>58</v>
      </c>
      <c r="H203" s="1" t="s">
        <v>145</v>
      </c>
      <c r="I203" s="1" t="s">
        <v>24</v>
      </c>
      <c r="J203" s="2">
        <f t="shared" ref="J203:N203" si="103">J204</f>
        <v>2427300</v>
      </c>
      <c r="K203" s="2">
        <f t="shared" si="103"/>
        <v>2427300</v>
      </c>
      <c r="L203" s="2"/>
      <c r="M203" s="2">
        <f t="shared" si="72"/>
        <v>2427300</v>
      </c>
      <c r="N203" s="2">
        <f t="shared" si="103"/>
        <v>2427300</v>
      </c>
      <c r="O203" s="17"/>
      <c r="P203" s="2">
        <f t="shared" si="73"/>
        <v>2427300</v>
      </c>
    </row>
    <row r="204" spans="1:16" ht="15" customHeight="1" x14ac:dyDescent="0.25">
      <c r="A204" s="17"/>
      <c r="B204" s="355" t="s">
        <v>25</v>
      </c>
      <c r="C204" s="289"/>
      <c r="D204" s="289"/>
      <c r="E204" s="289">
        <v>852</v>
      </c>
      <c r="F204" s="1" t="s">
        <v>37</v>
      </c>
      <c r="G204" s="1" t="s">
        <v>58</v>
      </c>
      <c r="H204" s="1" t="s">
        <v>145</v>
      </c>
      <c r="I204" s="1" t="s">
        <v>26</v>
      </c>
      <c r="J204" s="2">
        <f>1864300+563000</f>
        <v>2427300</v>
      </c>
      <c r="K204" s="2">
        <f t="shared" ref="K204:N204" si="104">1864300+563000</f>
        <v>2427300</v>
      </c>
      <c r="L204" s="2"/>
      <c r="M204" s="2">
        <f t="shared" ref="M204:M266" si="105">K204+L204</f>
        <v>2427300</v>
      </c>
      <c r="N204" s="2">
        <f t="shared" si="104"/>
        <v>2427300</v>
      </c>
      <c r="O204" s="17"/>
      <c r="P204" s="2">
        <f t="shared" ref="P204:P266" si="106">N204+O204</f>
        <v>2427300</v>
      </c>
    </row>
    <row r="205" spans="1:16" ht="15" customHeight="1" x14ac:dyDescent="0.25">
      <c r="A205" s="355"/>
      <c r="B205" s="356" t="s">
        <v>28</v>
      </c>
      <c r="C205" s="355"/>
      <c r="D205" s="355"/>
      <c r="E205" s="289">
        <v>852</v>
      </c>
      <c r="F205" s="1" t="s">
        <v>37</v>
      </c>
      <c r="G205" s="1" t="s">
        <v>58</v>
      </c>
      <c r="H205" s="1" t="s">
        <v>145</v>
      </c>
      <c r="I205" s="1" t="s">
        <v>29</v>
      </c>
      <c r="J205" s="2">
        <f t="shared" ref="J205:N207" si="107">J206</f>
        <v>505100</v>
      </c>
      <c r="K205" s="2">
        <f t="shared" si="107"/>
        <v>505100</v>
      </c>
      <c r="L205" s="2"/>
      <c r="M205" s="2">
        <f t="shared" si="105"/>
        <v>505100</v>
      </c>
      <c r="N205" s="2">
        <f t="shared" si="107"/>
        <v>505100</v>
      </c>
      <c r="O205" s="17"/>
      <c r="P205" s="2">
        <f t="shared" si="106"/>
        <v>505100</v>
      </c>
    </row>
    <row r="206" spans="1:16" ht="26.25" customHeight="1" x14ac:dyDescent="0.25">
      <c r="A206" s="355"/>
      <c r="B206" s="356" t="s">
        <v>30</v>
      </c>
      <c r="C206" s="356"/>
      <c r="D206" s="356"/>
      <c r="E206" s="289">
        <v>852</v>
      </c>
      <c r="F206" s="1" t="s">
        <v>37</v>
      </c>
      <c r="G206" s="1" t="s">
        <v>58</v>
      </c>
      <c r="H206" s="1" t="s">
        <v>145</v>
      </c>
      <c r="I206" s="1" t="s">
        <v>31</v>
      </c>
      <c r="J206" s="2">
        <f>2944406-J204-J210-6</f>
        <v>505100</v>
      </c>
      <c r="K206" s="2">
        <f t="shared" ref="K206:N206" si="108">2944406-K204-K210-6</f>
        <v>505100</v>
      </c>
      <c r="L206" s="2"/>
      <c r="M206" s="2">
        <f t="shared" si="105"/>
        <v>505100</v>
      </c>
      <c r="N206" s="2">
        <f t="shared" si="108"/>
        <v>505100</v>
      </c>
      <c r="O206" s="17"/>
      <c r="P206" s="2">
        <f t="shared" si="106"/>
        <v>505100</v>
      </c>
    </row>
    <row r="207" spans="1:16" ht="24" customHeight="1" x14ac:dyDescent="0.25">
      <c r="A207" s="356"/>
      <c r="B207" s="356" t="s">
        <v>95</v>
      </c>
      <c r="C207" s="356"/>
      <c r="D207" s="356"/>
      <c r="E207" s="289">
        <v>852</v>
      </c>
      <c r="F207" s="1" t="s">
        <v>37</v>
      </c>
      <c r="G207" s="1" t="s">
        <v>58</v>
      </c>
      <c r="H207" s="1" t="s">
        <v>145</v>
      </c>
      <c r="I207" s="1" t="s">
        <v>90</v>
      </c>
      <c r="J207" s="2">
        <f t="shared" si="107"/>
        <v>6887400</v>
      </c>
      <c r="K207" s="2">
        <f t="shared" si="107"/>
        <v>6887400</v>
      </c>
      <c r="L207" s="2"/>
      <c r="M207" s="2">
        <f t="shared" si="105"/>
        <v>6887400</v>
      </c>
      <c r="N207" s="2">
        <f t="shared" si="107"/>
        <v>6887400</v>
      </c>
      <c r="O207" s="17"/>
      <c r="P207" s="2">
        <f t="shared" si="106"/>
        <v>6887400</v>
      </c>
    </row>
    <row r="208" spans="1:16" ht="36.75" customHeight="1" x14ac:dyDescent="0.25">
      <c r="A208" s="356"/>
      <c r="B208" s="356" t="s">
        <v>91</v>
      </c>
      <c r="C208" s="356"/>
      <c r="D208" s="356"/>
      <c r="E208" s="289">
        <v>852</v>
      </c>
      <c r="F208" s="1" t="s">
        <v>37</v>
      </c>
      <c r="G208" s="1" t="s">
        <v>58</v>
      </c>
      <c r="H208" s="1" t="s">
        <v>145</v>
      </c>
      <c r="I208" s="1" t="s">
        <v>92</v>
      </c>
      <c r="J208" s="2">
        <v>6887400</v>
      </c>
      <c r="K208" s="2">
        <v>6887400</v>
      </c>
      <c r="L208" s="2"/>
      <c r="M208" s="2">
        <f t="shared" si="105"/>
        <v>6887400</v>
      </c>
      <c r="N208" s="2">
        <v>6887400</v>
      </c>
      <c r="O208" s="17"/>
      <c r="P208" s="2">
        <f t="shared" si="106"/>
        <v>6887400</v>
      </c>
    </row>
    <row r="209" spans="1:16" x14ac:dyDescent="0.25">
      <c r="A209" s="356"/>
      <c r="B209" s="356" t="s">
        <v>32</v>
      </c>
      <c r="C209" s="356"/>
      <c r="D209" s="356"/>
      <c r="E209" s="289">
        <v>852</v>
      </c>
      <c r="F209" s="1" t="s">
        <v>37</v>
      </c>
      <c r="G209" s="1" t="s">
        <v>58</v>
      </c>
      <c r="H209" s="1" t="s">
        <v>145</v>
      </c>
      <c r="I209" s="1" t="s">
        <v>33</v>
      </c>
      <c r="J209" s="2">
        <f t="shared" ref="J209:N209" si="109">J210</f>
        <v>12000</v>
      </c>
      <c r="K209" s="2">
        <f t="shared" si="109"/>
        <v>12000</v>
      </c>
      <c r="L209" s="2"/>
      <c r="M209" s="2">
        <f t="shared" si="105"/>
        <v>12000</v>
      </c>
      <c r="N209" s="2">
        <f t="shared" si="109"/>
        <v>12000</v>
      </c>
      <c r="O209" s="17"/>
      <c r="P209" s="2">
        <f t="shared" si="106"/>
        <v>12000</v>
      </c>
    </row>
    <row r="210" spans="1:16" ht="14.25" customHeight="1" x14ac:dyDescent="0.25">
      <c r="A210" s="356"/>
      <c r="B210" s="356" t="s">
        <v>34</v>
      </c>
      <c r="C210" s="356"/>
      <c r="D210" s="356"/>
      <c r="E210" s="289">
        <v>852</v>
      </c>
      <c r="F210" s="1" t="s">
        <v>37</v>
      </c>
      <c r="G210" s="1" t="s">
        <v>58</v>
      </c>
      <c r="H210" s="1" t="s">
        <v>145</v>
      </c>
      <c r="I210" s="1" t="s">
        <v>35</v>
      </c>
      <c r="J210" s="2">
        <v>12000</v>
      </c>
      <c r="K210" s="2">
        <v>12000</v>
      </c>
      <c r="L210" s="2"/>
      <c r="M210" s="2">
        <f t="shared" si="105"/>
        <v>12000</v>
      </c>
      <c r="N210" s="2">
        <v>12000</v>
      </c>
      <c r="O210" s="17"/>
      <c r="P210" s="2">
        <f t="shared" si="106"/>
        <v>12000</v>
      </c>
    </row>
    <row r="211" spans="1:16" s="15" customFormat="1" ht="38.25" customHeight="1" x14ac:dyDescent="0.25">
      <c r="A211" s="583" t="s">
        <v>124</v>
      </c>
      <c r="B211" s="583"/>
      <c r="C211" s="365"/>
      <c r="D211" s="365"/>
      <c r="E211" s="289">
        <v>852</v>
      </c>
      <c r="F211" s="1" t="s">
        <v>37</v>
      </c>
      <c r="G211" s="1" t="s">
        <v>58</v>
      </c>
      <c r="H211" s="1" t="s">
        <v>125</v>
      </c>
      <c r="I211" s="1"/>
      <c r="J211" s="2">
        <f>J212</f>
        <v>1399060</v>
      </c>
      <c r="K211" s="2">
        <f>K212</f>
        <v>1399060</v>
      </c>
      <c r="L211" s="2"/>
      <c r="M211" s="2">
        <f t="shared" si="105"/>
        <v>1399060</v>
      </c>
      <c r="N211" s="2">
        <f>N212</f>
        <v>1399060</v>
      </c>
      <c r="O211" s="435"/>
      <c r="P211" s="2">
        <f t="shared" si="106"/>
        <v>1399060</v>
      </c>
    </row>
    <row r="212" spans="1:16" s="15" customFormat="1" ht="14.25" customHeight="1" x14ac:dyDescent="0.25">
      <c r="A212" s="356"/>
      <c r="B212" s="356" t="s">
        <v>108</v>
      </c>
      <c r="C212" s="365"/>
      <c r="D212" s="365"/>
      <c r="E212" s="289">
        <v>852</v>
      </c>
      <c r="F212" s="1" t="s">
        <v>37</v>
      </c>
      <c r="G212" s="1" t="s">
        <v>58</v>
      </c>
      <c r="H212" s="1" t="s">
        <v>125</v>
      </c>
      <c r="I212" s="1" t="s">
        <v>109</v>
      </c>
      <c r="J212" s="2">
        <f t="shared" ref="J212:N212" si="110">J213</f>
        <v>1399060</v>
      </c>
      <c r="K212" s="2">
        <f t="shared" si="110"/>
        <v>1399060</v>
      </c>
      <c r="L212" s="2"/>
      <c r="M212" s="2">
        <f t="shared" si="105"/>
        <v>1399060</v>
      </c>
      <c r="N212" s="2">
        <f t="shared" si="110"/>
        <v>1399060</v>
      </c>
      <c r="O212" s="435"/>
      <c r="P212" s="2">
        <f t="shared" si="106"/>
        <v>1399060</v>
      </c>
    </row>
    <row r="213" spans="1:16" s="15" customFormat="1" ht="26.25" customHeight="1" x14ac:dyDescent="0.25">
      <c r="A213" s="356"/>
      <c r="B213" s="356" t="s">
        <v>146</v>
      </c>
      <c r="C213" s="365"/>
      <c r="D213" s="365"/>
      <c r="E213" s="289">
        <v>852</v>
      </c>
      <c r="F213" s="1" t="s">
        <v>37</v>
      </c>
      <c r="G213" s="1" t="s">
        <v>58</v>
      </c>
      <c r="H213" s="1" t="s">
        <v>125</v>
      </c>
      <c r="I213" s="1" t="s">
        <v>110</v>
      </c>
      <c r="J213" s="2">
        <v>1399060</v>
      </c>
      <c r="K213" s="2">
        <v>1399060</v>
      </c>
      <c r="L213" s="2"/>
      <c r="M213" s="2">
        <f t="shared" si="105"/>
        <v>1399060</v>
      </c>
      <c r="N213" s="2">
        <v>1399060</v>
      </c>
      <c r="O213" s="435"/>
      <c r="P213" s="2">
        <f t="shared" si="106"/>
        <v>1399060</v>
      </c>
    </row>
    <row r="214" spans="1:16" x14ac:dyDescent="0.25">
      <c r="A214" s="588" t="s">
        <v>104</v>
      </c>
      <c r="B214" s="588"/>
      <c r="C214" s="364"/>
      <c r="D214" s="364"/>
      <c r="E214" s="289">
        <v>852</v>
      </c>
      <c r="F214" s="7" t="s">
        <v>0</v>
      </c>
      <c r="G214" s="7"/>
      <c r="H214" s="7"/>
      <c r="I214" s="7"/>
      <c r="J214" s="9">
        <f>J215+J219+J231</f>
        <v>9232836</v>
      </c>
      <c r="K214" s="9">
        <f>K215+K219+K231</f>
        <v>9377236</v>
      </c>
      <c r="L214" s="9">
        <f t="shared" ref="L214:P214" si="111">L215+L219+L231</f>
        <v>0</v>
      </c>
      <c r="M214" s="9">
        <f t="shared" si="111"/>
        <v>9377236</v>
      </c>
      <c r="N214" s="9">
        <f t="shared" si="111"/>
        <v>9371036</v>
      </c>
      <c r="O214" s="9">
        <f t="shared" si="111"/>
        <v>0</v>
      </c>
      <c r="P214" s="9">
        <f t="shared" si="111"/>
        <v>9371036</v>
      </c>
    </row>
    <row r="215" spans="1:16" x14ac:dyDescent="0.25">
      <c r="A215" s="589" t="s">
        <v>111</v>
      </c>
      <c r="B215" s="589"/>
      <c r="C215" s="360"/>
      <c r="D215" s="360"/>
      <c r="E215" s="289">
        <v>852</v>
      </c>
      <c r="F215" s="12" t="s">
        <v>0</v>
      </c>
      <c r="G215" s="12" t="s">
        <v>4</v>
      </c>
      <c r="H215" s="12"/>
      <c r="I215" s="12"/>
      <c r="J215" s="14">
        <f>J216</f>
        <v>93000</v>
      </c>
      <c r="K215" s="14">
        <f>K216</f>
        <v>87000</v>
      </c>
      <c r="L215" s="14">
        <f t="shared" ref="L215:P215" si="112">L216</f>
        <v>0</v>
      </c>
      <c r="M215" s="14">
        <f t="shared" si="112"/>
        <v>87000</v>
      </c>
      <c r="N215" s="14">
        <f t="shared" si="112"/>
        <v>87000</v>
      </c>
      <c r="O215" s="14">
        <f t="shared" si="112"/>
        <v>0</v>
      </c>
      <c r="P215" s="14">
        <f t="shared" si="112"/>
        <v>87000</v>
      </c>
    </row>
    <row r="216" spans="1:16" ht="24" customHeight="1" x14ac:dyDescent="0.25">
      <c r="A216" s="583" t="s">
        <v>147</v>
      </c>
      <c r="B216" s="583"/>
      <c r="C216" s="360"/>
      <c r="D216" s="360"/>
      <c r="E216" s="289">
        <v>852</v>
      </c>
      <c r="F216" s="1" t="s">
        <v>0</v>
      </c>
      <c r="G216" s="1" t="s">
        <v>4</v>
      </c>
      <c r="H216" s="1" t="s">
        <v>148</v>
      </c>
      <c r="I216" s="12"/>
      <c r="J216" s="2">
        <f t="shared" ref="J216:N217" si="113">J217</f>
        <v>93000</v>
      </c>
      <c r="K216" s="2">
        <f t="shared" si="113"/>
        <v>87000</v>
      </c>
      <c r="L216" s="2"/>
      <c r="M216" s="2">
        <f t="shared" si="105"/>
        <v>87000</v>
      </c>
      <c r="N216" s="2">
        <f t="shared" si="113"/>
        <v>87000</v>
      </c>
      <c r="O216" s="17"/>
      <c r="P216" s="2">
        <f t="shared" si="106"/>
        <v>87000</v>
      </c>
    </row>
    <row r="217" spans="1:16" ht="15" customHeight="1" x14ac:dyDescent="0.25">
      <c r="A217" s="17"/>
      <c r="B217" s="355" t="s">
        <v>108</v>
      </c>
      <c r="C217" s="355"/>
      <c r="D217" s="355"/>
      <c r="E217" s="289">
        <v>852</v>
      </c>
      <c r="F217" s="1" t="s">
        <v>0</v>
      </c>
      <c r="G217" s="1" t="s">
        <v>4</v>
      </c>
      <c r="H217" s="1" t="s">
        <v>148</v>
      </c>
      <c r="I217" s="1" t="s">
        <v>109</v>
      </c>
      <c r="J217" s="2">
        <f t="shared" si="113"/>
        <v>93000</v>
      </c>
      <c r="K217" s="2">
        <f t="shared" si="113"/>
        <v>87000</v>
      </c>
      <c r="L217" s="2"/>
      <c r="M217" s="2">
        <f t="shared" si="105"/>
        <v>87000</v>
      </c>
      <c r="N217" s="2">
        <f t="shared" si="113"/>
        <v>87000</v>
      </c>
      <c r="O217" s="17"/>
      <c r="P217" s="2">
        <f t="shared" si="106"/>
        <v>87000</v>
      </c>
    </row>
    <row r="218" spans="1:16" ht="24.75" customHeight="1" x14ac:dyDescent="0.25">
      <c r="A218" s="356"/>
      <c r="B218" s="355" t="s">
        <v>146</v>
      </c>
      <c r="C218" s="355"/>
      <c r="D218" s="355"/>
      <c r="E218" s="289">
        <v>852</v>
      </c>
      <c r="F218" s="1" t="s">
        <v>0</v>
      </c>
      <c r="G218" s="1" t="s">
        <v>4</v>
      </c>
      <c r="H218" s="1" t="s">
        <v>148</v>
      </c>
      <c r="I218" s="1" t="s">
        <v>110</v>
      </c>
      <c r="J218" s="2">
        <v>93000</v>
      </c>
      <c r="K218" s="2">
        <v>87000</v>
      </c>
      <c r="L218" s="2"/>
      <c r="M218" s="2">
        <f t="shared" si="105"/>
        <v>87000</v>
      </c>
      <c r="N218" s="2">
        <v>87000</v>
      </c>
      <c r="O218" s="17"/>
      <c r="P218" s="2">
        <f t="shared" si="106"/>
        <v>87000</v>
      </c>
    </row>
    <row r="219" spans="1:16" x14ac:dyDescent="0.25">
      <c r="A219" s="589" t="s">
        <v>112</v>
      </c>
      <c r="B219" s="589"/>
      <c r="C219" s="365"/>
      <c r="D219" s="365"/>
      <c r="E219" s="289">
        <v>852</v>
      </c>
      <c r="F219" s="12" t="s">
        <v>0</v>
      </c>
      <c r="G219" s="12" t="s">
        <v>7</v>
      </c>
      <c r="H219" s="12"/>
      <c r="I219" s="12"/>
      <c r="J219" s="14">
        <f t="shared" ref="J219:P219" si="114">J220+J223+J228</f>
        <v>7971036</v>
      </c>
      <c r="K219" s="14">
        <f t="shared" si="114"/>
        <v>8121436</v>
      </c>
      <c r="L219" s="14">
        <f t="shared" si="114"/>
        <v>0</v>
      </c>
      <c r="M219" s="14">
        <f t="shared" si="114"/>
        <v>8121436</v>
      </c>
      <c r="N219" s="14">
        <f t="shared" si="114"/>
        <v>8115236</v>
      </c>
      <c r="O219" s="14">
        <f t="shared" si="114"/>
        <v>0</v>
      </c>
      <c r="P219" s="14">
        <f t="shared" si="114"/>
        <v>8115236</v>
      </c>
    </row>
    <row r="220" spans="1:16" ht="35.25" customHeight="1" x14ac:dyDescent="0.25">
      <c r="A220" s="583" t="s">
        <v>599</v>
      </c>
      <c r="B220" s="583"/>
      <c r="C220" s="365"/>
      <c r="D220" s="365"/>
      <c r="E220" s="289">
        <v>852</v>
      </c>
      <c r="F220" s="1" t="s">
        <v>0</v>
      </c>
      <c r="G220" s="1" t="s">
        <v>7</v>
      </c>
      <c r="H220" s="1" t="s">
        <v>154</v>
      </c>
      <c r="I220" s="12"/>
      <c r="J220" s="2">
        <f t="shared" ref="J220:N221" si="115">J221</f>
        <v>836736</v>
      </c>
      <c r="K220" s="2">
        <f t="shared" si="115"/>
        <v>836736</v>
      </c>
      <c r="L220" s="2"/>
      <c r="M220" s="2">
        <f t="shared" si="105"/>
        <v>836736</v>
      </c>
      <c r="N220" s="2">
        <f t="shared" si="115"/>
        <v>836736</v>
      </c>
      <c r="O220" s="17"/>
      <c r="P220" s="2">
        <f t="shared" si="106"/>
        <v>836736</v>
      </c>
    </row>
    <row r="221" spans="1:16" ht="13.5" customHeight="1" x14ac:dyDescent="0.25">
      <c r="A221" s="17"/>
      <c r="B221" s="355" t="s">
        <v>108</v>
      </c>
      <c r="C221" s="355"/>
      <c r="D221" s="355"/>
      <c r="E221" s="289">
        <v>852</v>
      </c>
      <c r="F221" s="1" t="s">
        <v>0</v>
      </c>
      <c r="G221" s="1" t="s">
        <v>7</v>
      </c>
      <c r="H221" s="1" t="s">
        <v>154</v>
      </c>
      <c r="I221" s="1" t="s">
        <v>109</v>
      </c>
      <c r="J221" s="2">
        <f t="shared" si="115"/>
        <v>836736</v>
      </c>
      <c r="K221" s="2">
        <f t="shared" si="115"/>
        <v>836736</v>
      </c>
      <c r="L221" s="2"/>
      <c r="M221" s="2">
        <f t="shared" si="105"/>
        <v>836736</v>
      </c>
      <c r="N221" s="2">
        <f t="shared" si="115"/>
        <v>836736</v>
      </c>
      <c r="O221" s="17"/>
      <c r="P221" s="2">
        <f t="shared" si="106"/>
        <v>836736</v>
      </c>
    </row>
    <row r="222" spans="1:16" ht="24" customHeight="1" x14ac:dyDescent="0.25">
      <c r="A222" s="356"/>
      <c r="B222" s="355" t="s">
        <v>146</v>
      </c>
      <c r="C222" s="355"/>
      <c r="D222" s="355"/>
      <c r="E222" s="289">
        <v>852</v>
      </c>
      <c r="F222" s="1" t="s">
        <v>0</v>
      </c>
      <c r="G222" s="1" t="s">
        <v>7</v>
      </c>
      <c r="H222" s="1" t="s">
        <v>154</v>
      </c>
      <c r="I222" s="1" t="s">
        <v>110</v>
      </c>
      <c r="J222" s="2">
        <v>836736</v>
      </c>
      <c r="K222" s="2">
        <v>836736</v>
      </c>
      <c r="L222" s="2"/>
      <c r="M222" s="2">
        <f t="shared" si="105"/>
        <v>836736</v>
      </c>
      <c r="N222" s="2">
        <v>836736</v>
      </c>
      <c r="O222" s="17"/>
      <c r="P222" s="2">
        <f t="shared" si="106"/>
        <v>836736</v>
      </c>
    </row>
    <row r="223" spans="1:16" ht="48" customHeight="1" x14ac:dyDescent="0.25">
      <c r="A223" s="591" t="s">
        <v>3</v>
      </c>
      <c r="B223" s="591"/>
      <c r="C223" s="355"/>
      <c r="D223" s="355"/>
      <c r="E223" s="289">
        <v>852</v>
      </c>
      <c r="F223" s="1" t="s">
        <v>0</v>
      </c>
      <c r="G223" s="1" t="s">
        <v>7</v>
      </c>
      <c r="H223" s="1" t="s">
        <v>5</v>
      </c>
      <c r="I223" s="1"/>
      <c r="J223" s="2">
        <f t="shared" ref="J223:N223" si="116">J224+J226</f>
        <v>6976300</v>
      </c>
      <c r="K223" s="2">
        <f t="shared" si="116"/>
        <v>7074600</v>
      </c>
      <c r="L223" s="2"/>
      <c r="M223" s="2">
        <f t="shared" si="105"/>
        <v>7074600</v>
      </c>
      <c r="N223" s="2">
        <f t="shared" si="116"/>
        <v>7074600</v>
      </c>
      <c r="O223" s="17"/>
      <c r="P223" s="2">
        <f t="shared" si="106"/>
        <v>7074600</v>
      </c>
    </row>
    <row r="224" spans="1:16" ht="12.75" customHeight="1" x14ac:dyDescent="0.25">
      <c r="A224" s="17"/>
      <c r="B224" s="356" t="s">
        <v>28</v>
      </c>
      <c r="C224" s="355"/>
      <c r="D224" s="355"/>
      <c r="E224" s="289">
        <v>852</v>
      </c>
      <c r="F224" s="1" t="s">
        <v>149</v>
      </c>
      <c r="G224" s="1" t="s">
        <v>7</v>
      </c>
      <c r="H224" s="1" t="s">
        <v>5</v>
      </c>
      <c r="I224" s="1" t="s">
        <v>29</v>
      </c>
      <c r="J224" s="2">
        <f t="shared" ref="J224:N224" si="117">J225</f>
        <v>1795108</v>
      </c>
      <c r="K224" s="2">
        <f t="shared" si="117"/>
        <v>1795108</v>
      </c>
      <c r="L224" s="2"/>
      <c r="M224" s="2">
        <f t="shared" si="105"/>
        <v>1795108</v>
      </c>
      <c r="N224" s="2">
        <f t="shared" si="117"/>
        <v>1795108</v>
      </c>
      <c r="O224" s="17"/>
      <c r="P224" s="2">
        <f t="shared" si="106"/>
        <v>1795108</v>
      </c>
    </row>
    <row r="225" spans="1:16" ht="25.5" customHeight="1" x14ac:dyDescent="0.25">
      <c r="A225" s="17"/>
      <c r="B225" s="356" t="s">
        <v>30</v>
      </c>
      <c r="C225" s="356"/>
      <c r="D225" s="356"/>
      <c r="E225" s="289">
        <v>852</v>
      </c>
      <c r="F225" s="1" t="s">
        <v>149</v>
      </c>
      <c r="G225" s="1" t="s">
        <v>7</v>
      </c>
      <c r="H225" s="1" t="s">
        <v>5</v>
      </c>
      <c r="I225" s="1" t="s">
        <v>31</v>
      </c>
      <c r="J225" s="2">
        <f>1697810+97298</f>
        <v>1795108</v>
      </c>
      <c r="K225" s="2">
        <f>1697810+97298</f>
        <v>1795108</v>
      </c>
      <c r="L225" s="2"/>
      <c r="M225" s="2">
        <f t="shared" si="105"/>
        <v>1795108</v>
      </c>
      <c r="N225" s="2">
        <f>1697810+97298</f>
        <v>1795108</v>
      </c>
      <c r="O225" s="17"/>
      <c r="P225" s="2">
        <f t="shared" si="106"/>
        <v>1795108</v>
      </c>
    </row>
    <row r="226" spans="1:16" ht="12.75" customHeight="1" x14ac:dyDescent="0.25">
      <c r="A226" s="315"/>
      <c r="B226" s="355" t="s">
        <v>108</v>
      </c>
      <c r="C226" s="355"/>
      <c r="D226" s="355"/>
      <c r="E226" s="289">
        <v>852</v>
      </c>
      <c r="F226" s="1" t="s">
        <v>0</v>
      </c>
      <c r="G226" s="1" t="s">
        <v>7</v>
      </c>
      <c r="H226" s="1" t="s">
        <v>5</v>
      </c>
      <c r="I226" s="1" t="s">
        <v>109</v>
      </c>
      <c r="J226" s="2">
        <f t="shared" ref="J226:N226" si="118">J227</f>
        <v>5181192</v>
      </c>
      <c r="K226" s="2">
        <f t="shared" si="118"/>
        <v>5279492</v>
      </c>
      <c r="L226" s="2"/>
      <c r="M226" s="2">
        <f t="shared" si="105"/>
        <v>5279492</v>
      </c>
      <c r="N226" s="2">
        <f t="shared" si="118"/>
        <v>5279492</v>
      </c>
      <c r="O226" s="17"/>
      <c r="P226" s="2">
        <f t="shared" si="106"/>
        <v>5279492</v>
      </c>
    </row>
    <row r="227" spans="1:16" ht="27.75" customHeight="1" x14ac:dyDescent="0.25">
      <c r="A227" s="315"/>
      <c r="B227" s="355" t="s">
        <v>379</v>
      </c>
      <c r="C227" s="355"/>
      <c r="D227" s="355"/>
      <c r="E227" s="289">
        <v>852</v>
      </c>
      <c r="F227" s="1" t="s">
        <v>0</v>
      </c>
      <c r="G227" s="1" t="s">
        <v>7</v>
      </c>
      <c r="H227" s="1" t="s">
        <v>5</v>
      </c>
      <c r="I227" s="1" t="s">
        <v>9</v>
      </c>
      <c r="J227" s="2">
        <f>3238668+1942569-45</f>
        <v>5181192</v>
      </c>
      <c r="K227" s="2">
        <f>3238668+1942569-45+98300</f>
        <v>5279492</v>
      </c>
      <c r="L227" s="2"/>
      <c r="M227" s="2">
        <f t="shared" si="105"/>
        <v>5279492</v>
      </c>
      <c r="N227" s="2">
        <f>3238668+1942569-45+98300</f>
        <v>5279492</v>
      </c>
      <c r="O227" s="17"/>
      <c r="P227" s="2">
        <f t="shared" si="106"/>
        <v>5279492</v>
      </c>
    </row>
    <row r="228" spans="1:16" ht="35.25" customHeight="1" x14ac:dyDescent="0.25">
      <c r="A228" s="583" t="s">
        <v>6</v>
      </c>
      <c r="B228" s="583"/>
      <c r="C228" s="355"/>
      <c r="D228" s="355"/>
      <c r="E228" s="289">
        <v>852</v>
      </c>
      <c r="F228" s="1" t="s">
        <v>0</v>
      </c>
      <c r="G228" s="1" t="s">
        <v>7</v>
      </c>
      <c r="H228" s="1" t="s">
        <v>8</v>
      </c>
      <c r="I228" s="1"/>
      <c r="J228" s="2">
        <f t="shared" ref="J228:N229" si="119">J229</f>
        <v>158000</v>
      </c>
      <c r="K228" s="2">
        <f t="shared" si="119"/>
        <v>210100</v>
      </c>
      <c r="L228" s="2"/>
      <c r="M228" s="2">
        <f t="shared" si="105"/>
        <v>210100</v>
      </c>
      <c r="N228" s="2">
        <f t="shared" si="119"/>
        <v>203900</v>
      </c>
      <c r="O228" s="17"/>
      <c r="P228" s="2">
        <f t="shared" si="106"/>
        <v>203900</v>
      </c>
    </row>
    <row r="229" spans="1:16" ht="15" customHeight="1" x14ac:dyDescent="0.25">
      <c r="A229" s="315"/>
      <c r="B229" s="355" t="s">
        <v>108</v>
      </c>
      <c r="C229" s="355"/>
      <c r="D229" s="355"/>
      <c r="E229" s="289">
        <v>852</v>
      </c>
      <c r="F229" s="1" t="s">
        <v>0</v>
      </c>
      <c r="G229" s="1" t="s">
        <v>7</v>
      </c>
      <c r="H229" s="1" t="s">
        <v>8</v>
      </c>
      <c r="I229" s="1" t="s">
        <v>109</v>
      </c>
      <c r="J229" s="2">
        <f t="shared" si="119"/>
        <v>158000</v>
      </c>
      <c r="K229" s="2">
        <f t="shared" si="119"/>
        <v>210100</v>
      </c>
      <c r="L229" s="2"/>
      <c r="M229" s="2">
        <f t="shared" si="105"/>
        <v>210100</v>
      </c>
      <c r="N229" s="2">
        <f t="shared" si="119"/>
        <v>203900</v>
      </c>
      <c r="O229" s="17"/>
      <c r="P229" s="2">
        <f t="shared" si="106"/>
        <v>203900</v>
      </c>
    </row>
    <row r="230" spans="1:16" ht="27" customHeight="1" x14ac:dyDescent="0.25">
      <c r="A230" s="315"/>
      <c r="B230" s="355" t="s">
        <v>379</v>
      </c>
      <c r="C230" s="355"/>
      <c r="D230" s="355"/>
      <c r="E230" s="289">
        <v>852</v>
      </c>
      <c r="F230" s="1" t="s">
        <v>0</v>
      </c>
      <c r="G230" s="1" t="s">
        <v>7</v>
      </c>
      <c r="H230" s="1" t="s">
        <v>8</v>
      </c>
      <c r="I230" s="1" t="s">
        <v>9</v>
      </c>
      <c r="J230" s="2">
        <v>158000</v>
      </c>
      <c r="K230" s="2">
        <v>210100</v>
      </c>
      <c r="L230" s="2"/>
      <c r="M230" s="2">
        <f t="shared" si="105"/>
        <v>210100</v>
      </c>
      <c r="N230" s="2">
        <v>203900</v>
      </c>
      <c r="O230" s="17"/>
      <c r="P230" s="2">
        <f t="shared" si="106"/>
        <v>203900</v>
      </c>
    </row>
    <row r="231" spans="1:16" x14ac:dyDescent="0.25">
      <c r="A231" s="589" t="s">
        <v>116</v>
      </c>
      <c r="B231" s="589"/>
      <c r="C231" s="365"/>
      <c r="D231" s="365"/>
      <c r="E231" s="289">
        <v>852</v>
      </c>
      <c r="F231" s="12" t="s">
        <v>0</v>
      </c>
      <c r="G231" s="12" t="s">
        <v>1</v>
      </c>
      <c r="H231" s="12"/>
      <c r="I231" s="12"/>
      <c r="J231" s="14">
        <f t="shared" ref="J231:P231" si="120">J232+J237</f>
        <v>1168800</v>
      </c>
      <c r="K231" s="14">
        <f t="shared" si="120"/>
        <v>1168800</v>
      </c>
      <c r="L231" s="14">
        <f t="shared" si="120"/>
        <v>0</v>
      </c>
      <c r="M231" s="14">
        <f t="shared" si="120"/>
        <v>1168800</v>
      </c>
      <c r="N231" s="14">
        <f t="shared" si="120"/>
        <v>1168800</v>
      </c>
      <c r="O231" s="14">
        <f t="shared" si="120"/>
        <v>0</v>
      </c>
      <c r="P231" s="14">
        <f t="shared" si="120"/>
        <v>1168800</v>
      </c>
    </row>
    <row r="232" spans="1:16" ht="45" customHeight="1" x14ac:dyDescent="0.25">
      <c r="A232" s="583" t="s">
        <v>46</v>
      </c>
      <c r="B232" s="583"/>
      <c r="C232" s="289"/>
      <c r="D232" s="289"/>
      <c r="E232" s="289">
        <v>852</v>
      </c>
      <c r="F232" s="1" t="s">
        <v>0</v>
      </c>
      <c r="G232" s="1" t="s">
        <v>1</v>
      </c>
      <c r="H232" s="1" t="s">
        <v>155</v>
      </c>
      <c r="I232" s="1"/>
      <c r="J232" s="2">
        <f t="shared" ref="J232:N232" si="121">J233+J235</f>
        <v>510800</v>
      </c>
      <c r="K232" s="2">
        <f t="shared" si="121"/>
        <v>510800</v>
      </c>
      <c r="L232" s="2"/>
      <c r="M232" s="2">
        <f t="shared" si="105"/>
        <v>510800</v>
      </c>
      <c r="N232" s="2">
        <f t="shared" si="121"/>
        <v>510800</v>
      </c>
      <c r="O232" s="17"/>
      <c r="P232" s="2">
        <f t="shared" si="106"/>
        <v>510800</v>
      </c>
    </row>
    <row r="233" spans="1:16" ht="36.75" customHeight="1" x14ac:dyDescent="0.25">
      <c r="A233" s="17"/>
      <c r="B233" s="355" t="s">
        <v>22</v>
      </c>
      <c r="C233" s="289"/>
      <c r="D233" s="289"/>
      <c r="E233" s="289">
        <v>852</v>
      </c>
      <c r="F233" s="20" t="s">
        <v>0</v>
      </c>
      <c r="G233" s="20" t="s">
        <v>1</v>
      </c>
      <c r="H233" s="1" t="s">
        <v>155</v>
      </c>
      <c r="I233" s="1" t="s">
        <v>24</v>
      </c>
      <c r="J233" s="2">
        <f t="shared" ref="J233:N233" si="122">J234</f>
        <v>379550</v>
      </c>
      <c r="K233" s="2">
        <f t="shared" si="122"/>
        <v>431934</v>
      </c>
      <c r="L233" s="2"/>
      <c r="M233" s="2">
        <f t="shared" si="105"/>
        <v>431934</v>
      </c>
      <c r="N233" s="2">
        <f t="shared" si="122"/>
        <v>431934</v>
      </c>
      <c r="O233" s="17"/>
      <c r="P233" s="2">
        <f t="shared" si="106"/>
        <v>431934</v>
      </c>
    </row>
    <row r="234" spans="1:16" ht="15" customHeight="1" x14ac:dyDescent="0.25">
      <c r="A234" s="17"/>
      <c r="B234" s="355" t="s">
        <v>25</v>
      </c>
      <c r="C234" s="289"/>
      <c r="D234" s="289"/>
      <c r="E234" s="289">
        <v>852</v>
      </c>
      <c r="F234" s="20" t="s">
        <v>0</v>
      </c>
      <c r="G234" s="20" t="s">
        <v>1</v>
      </c>
      <c r="H234" s="1" t="s">
        <v>155</v>
      </c>
      <c r="I234" s="1" t="s">
        <v>26</v>
      </c>
      <c r="J234" s="2">
        <f>431934-52384</f>
        <v>379550</v>
      </c>
      <c r="K234" s="2">
        <v>431934</v>
      </c>
      <c r="L234" s="2"/>
      <c r="M234" s="2">
        <f t="shared" si="105"/>
        <v>431934</v>
      </c>
      <c r="N234" s="2">
        <v>431934</v>
      </c>
      <c r="O234" s="236"/>
      <c r="P234" s="2">
        <f t="shared" si="106"/>
        <v>431934</v>
      </c>
    </row>
    <row r="235" spans="1:16" ht="15" customHeight="1" x14ac:dyDescent="0.25">
      <c r="A235" s="17"/>
      <c r="B235" s="356" t="s">
        <v>28</v>
      </c>
      <c r="C235" s="289"/>
      <c r="D235" s="289"/>
      <c r="E235" s="289">
        <v>852</v>
      </c>
      <c r="F235" s="20" t="s">
        <v>0</v>
      </c>
      <c r="G235" s="20" t="s">
        <v>1</v>
      </c>
      <c r="H235" s="1" t="s">
        <v>155</v>
      </c>
      <c r="I235" s="1" t="s">
        <v>29</v>
      </c>
      <c r="J235" s="2">
        <f t="shared" ref="J235:N235" si="123">J236</f>
        <v>131250</v>
      </c>
      <c r="K235" s="2">
        <f t="shared" si="123"/>
        <v>78866</v>
      </c>
      <c r="L235" s="2"/>
      <c r="M235" s="2">
        <f t="shared" si="105"/>
        <v>78866</v>
      </c>
      <c r="N235" s="2">
        <f t="shared" si="123"/>
        <v>78866</v>
      </c>
      <c r="O235" s="17"/>
      <c r="P235" s="2">
        <f t="shared" si="106"/>
        <v>78866</v>
      </c>
    </row>
    <row r="236" spans="1:16" ht="24" customHeight="1" x14ac:dyDescent="0.25">
      <c r="A236" s="17"/>
      <c r="B236" s="356" t="s">
        <v>30</v>
      </c>
      <c r="C236" s="289"/>
      <c r="D236" s="289"/>
      <c r="E236" s="289">
        <v>852</v>
      </c>
      <c r="F236" s="20" t="s">
        <v>0</v>
      </c>
      <c r="G236" s="20" t="s">
        <v>1</v>
      </c>
      <c r="H236" s="1" t="s">
        <v>155</v>
      </c>
      <c r="I236" s="1" t="s">
        <v>31</v>
      </c>
      <c r="J236" s="2">
        <f>78866+52384</f>
        <v>131250</v>
      </c>
      <c r="K236" s="2">
        <v>78866</v>
      </c>
      <c r="L236" s="2"/>
      <c r="M236" s="2">
        <f t="shared" si="105"/>
        <v>78866</v>
      </c>
      <c r="N236" s="2">
        <v>78866</v>
      </c>
      <c r="O236" s="236"/>
      <c r="P236" s="2">
        <f t="shared" si="106"/>
        <v>78866</v>
      </c>
    </row>
    <row r="237" spans="1:16" ht="44.25" customHeight="1" x14ac:dyDescent="0.25">
      <c r="A237" s="591" t="s">
        <v>3</v>
      </c>
      <c r="B237" s="591"/>
      <c r="C237" s="355"/>
      <c r="D237" s="355"/>
      <c r="E237" s="289">
        <v>852</v>
      </c>
      <c r="F237" s="1" t="s">
        <v>0</v>
      </c>
      <c r="G237" s="1" t="s">
        <v>1</v>
      </c>
      <c r="H237" s="1" t="s">
        <v>5</v>
      </c>
      <c r="I237" s="1"/>
      <c r="J237" s="2">
        <f t="shared" ref="J237:N237" si="124">J238+J240</f>
        <v>658000</v>
      </c>
      <c r="K237" s="2">
        <f t="shared" si="124"/>
        <v>658000</v>
      </c>
      <c r="L237" s="2"/>
      <c r="M237" s="2">
        <f t="shared" si="105"/>
        <v>658000</v>
      </c>
      <c r="N237" s="2">
        <f t="shared" si="124"/>
        <v>658000</v>
      </c>
      <c r="O237" s="17"/>
      <c r="P237" s="2">
        <f t="shared" si="106"/>
        <v>658000</v>
      </c>
    </row>
    <row r="238" spans="1:16" ht="36" customHeight="1" x14ac:dyDescent="0.25">
      <c r="A238" s="356"/>
      <c r="B238" s="355" t="s">
        <v>22</v>
      </c>
      <c r="C238" s="356"/>
      <c r="D238" s="356"/>
      <c r="E238" s="289">
        <v>852</v>
      </c>
      <c r="F238" s="20" t="s">
        <v>0</v>
      </c>
      <c r="G238" s="20" t="s">
        <v>1</v>
      </c>
      <c r="H238" s="1" t="s">
        <v>5</v>
      </c>
      <c r="I238" s="1" t="s">
        <v>24</v>
      </c>
      <c r="J238" s="2">
        <f t="shared" ref="J238:N238" si="125">J239</f>
        <v>420900</v>
      </c>
      <c r="K238" s="2">
        <f t="shared" si="125"/>
        <v>420900</v>
      </c>
      <c r="L238" s="2"/>
      <c r="M238" s="2">
        <f t="shared" si="105"/>
        <v>420900</v>
      </c>
      <c r="N238" s="2">
        <f t="shared" si="125"/>
        <v>420900</v>
      </c>
      <c r="O238" s="17"/>
      <c r="P238" s="2">
        <f t="shared" si="106"/>
        <v>420900</v>
      </c>
    </row>
    <row r="239" spans="1:16" ht="15" customHeight="1" x14ac:dyDescent="0.25">
      <c r="A239" s="17"/>
      <c r="B239" s="355" t="s">
        <v>25</v>
      </c>
      <c r="C239" s="355"/>
      <c r="D239" s="355"/>
      <c r="E239" s="289">
        <v>852</v>
      </c>
      <c r="F239" s="20" t="s">
        <v>0</v>
      </c>
      <c r="G239" s="20" t="s">
        <v>1</v>
      </c>
      <c r="H239" s="1" t="s">
        <v>5</v>
      </c>
      <c r="I239" s="1" t="s">
        <v>26</v>
      </c>
      <c r="J239" s="2">
        <v>420900</v>
      </c>
      <c r="K239" s="2">
        <v>420900</v>
      </c>
      <c r="L239" s="2"/>
      <c r="M239" s="2">
        <f t="shared" si="105"/>
        <v>420900</v>
      </c>
      <c r="N239" s="2">
        <v>420900</v>
      </c>
      <c r="O239" s="17"/>
      <c r="P239" s="2">
        <f t="shared" si="106"/>
        <v>420900</v>
      </c>
    </row>
    <row r="240" spans="1:16" ht="15" customHeight="1" x14ac:dyDescent="0.25">
      <c r="A240" s="17"/>
      <c r="B240" s="356" t="s">
        <v>28</v>
      </c>
      <c r="C240" s="355"/>
      <c r="D240" s="355"/>
      <c r="E240" s="289">
        <v>852</v>
      </c>
      <c r="F240" s="20" t="s">
        <v>0</v>
      </c>
      <c r="G240" s="20" t="s">
        <v>1</v>
      </c>
      <c r="H240" s="1" t="s">
        <v>5</v>
      </c>
      <c r="I240" s="1" t="s">
        <v>29</v>
      </c>
      <c r="J240" s="2">
        <f t="shared" ref="J240:N240" si="126">J241</f>
        <v>237100</v>
      </c>
      <c r="K240" s="2">
        <f t="shared" si="126"/>
        <v>237100</v>
      </c>
      <c r="L240" s="2"/>
      <c r="M240" s="2">
        <f t="shared" si="105"/>
        <v>237100</v>
      </c>
      <c r="N240" s="2">
        <f t="shared" si="126"/>
        <v>237100</v>
      </c>
      <c r="O240" s="17"/>
      <c r="P240" s="2">
        <f t="shared" si="106"/>
        <v>237100</v>
      </c>
    </row>
    <row r="241" spans="1:16" ht="14.25" customHeight="1" x14ac:dyDescent="0.25">
      <c r="A241" s="17"/>
      <c r="B241" s="356" t="s">
        <v>30</v>
      </c>
      <c r="C241" s="356"/>
      <c r="D241" s="356"/>
      <c r="E241" s="289">
        <v>852</v>
      </c>
      <c r="F241" s="20" t="s">
        <v>0</v>
      </c>
      <c r="G241" s="20" t="s">
        <v>1</v>
      </c>
      <c r="H241" s="1" t="s">
        <v>5</v>
      </c>
      <c r="I241" s="1" t="s">
        <v>31</v>
      </c>
      <c r="J241" s="2">
        <v>237100</v>
      </c>
      <c r="K241" s="2">
        <v>237100</v>
      </c>
      <c r="L241" s="2"/>
      <c r="M241" s="2">
        <f t="shared" si="105"/>
        <v>237100</v>
      </c>
      <c r="N241" s="2">
        <v>237100</v>
      </c>
      <c r="O241" s="17"/>
      <c r="P241" s="2">
        <f t="shared" si="106"/>
        <v>237100</v>
      </c>
    </row>
    <row r="242" spans="1:16" ht="18" customHeight="1" x14ac:dyDescent="0.25">
      <c r="A242" s="593" t="s">
        <v>156</v>
      </c>
      <c r="B242" s="593"/>
      <c r="C242" s="373"/>
      <c r="D242" s="373"/>
      <c r="E242" s="368">
        <v>853</v>
      </c>
      <c r="F242" s="1"/>
      <c r="G242" s="1"/>
      <c r="H242" s="1"/>
      <c r="I242" s="1"/>
      <c r="J242" s="9">
        <f>J243+J257+J262+J267+J276</f>
        <v>19120517</v>
      </c>
      <c r="K242" s="9">
        <f>K243+K257+K262+K267+K276</f>
        <v>26959641</v>
      </c>
      <c r="L242" s="9">
        <f t="shared" ref="L242:P242" si="127">L243+L257+L262+L267+L276</f>
        <v>-1278900</v>
      </c>
      <c r="M242" s="9">
        <f t="shared" si="127"/>
        <v>25680741</v>
      </c>
      <c r="N242" s="9">
        <f t="shared" si="127"/>
        <v>26629614</v>
      </c>
      <c r="O242" s="9">
        <f t="shared" si="127"/>
        <v>-883900</v>
      </c>
      <c r="P242" s="9">
        <f t="shared" si="127"/>
        <v>25745714</v>
      </c>
    </row>
    <row r="243" spans="1:16" s="11" customFormat="1" x14ac:dyDescent="0.25">
      <c r="A243" s="588" t="s">
        <v>17</v>
      </c>
      <c r="B243" s="588"/>
      <c r="C243" s="361"/>
      <c r="D243" s="361"/>
      <c r="E243" s="32">
        <v>853</v>
      </c>
      <c r="F243" s="7" t="s">
        <v>18</v>
      </c>
      <c r="G243" s="7"/>
      <c r="H243" s="7"/>
      <c r="I243" s="7"/>
      <c r="J243" s="9">
        <f>J244+J253</f>
        <v>3735500</v>
      </c>
      <c r="K243" s="9">
        <f>K244+K253</f>
        <v>3735500</v>
      </c>
      <c r="L243" s="9">
        <f t="shared" ref="L243:P243" si="128">L244+L253</f>
        <v>0</v>
      </c>
      <c r="M243" s="9">
        <f t="shared" si="128"/>
        <v>3735500</v>
      </c>
      <c r="N243" s="9">
        <f t="shared" si="128"/>
        <v>3735500</v>
      </c>
      <c r="O243" s="9">
        <f t="shared" si="128"/>
        <v>0</v>
      </c>
      <c r="P243" s="9">
        <f t="shared" si="128"/>
        <v>3735500</v>
      </c>
    </row>
    <row r="244" spans="1:16" s="15" customFormat="1" ht="27.75" customHeight="1" x14ac:dyDescent="0.25">
      <c r="A244" s="589" t="s">
        <v>157</v>
      </c>
      <c r="B244" s="589"/>
      <c r="C244" s="359"/>
      <c r="D244" s="359"/>
      <c r="E244" s="32">
        <v>853</v>
      </c>
      <c r="F244" s="12" t="s">
        <v>18</v>
      </c>
      <c r="G244" s="12" t="s">
        <v>1</v>
      </c>
      <c r="H244" s="12"/>
      <c r="I244" s="12"/>
      <c r="J244" s="14">
        <f>J245</f>
        <v>3735300</v>
      </c>
      <c r="K244" s="14">
        <f>K245</f>
        <v>3735300</v>
      </c>
      <c r="L244" s="14">
        <f t="shared" ref="L244:P244" si="129">L245</f>
        <v>0</v>
      </c>
      <c r="M244" s="14">
        <f t="shared" si="129"/>
        <v>3735300</v>
      </c>
      <c r="N244" s="14">
        <f t="shared" si="129"/>
        <v>3735300</v>
      </c>
      <c r="O244" s="14">
        <f t="shared" si="129"/>
        <v>0</v>
      </c>
      <c r="P244" s="14">
        <f t="shared" si="129"/>
        <v>3735300</v>
      </c>
    </row>
    <row r="245" spans="1:16" ht="27.75" customHeight="1" x14ac:dyDescent="0.25">
      <c r="A245" s="583" t="s">
        <v>27</v>
      </c>
      <c r="B245" s="583"/>
      <c r="C245" s="289"/>
      <c r="D245" s="289"/>
      <c r="E245" s="32">
        <v>853</v>
      </c>
      <c r="F245" s="1" t="s">
        <v>23</v>
      </c>
      <c r="G245" s="1" t="s">
        <v>1</v>
      </c>
      <c r="H245" s="1" t="s">
        <v>378</v>
      </c>
      <c r="I245" s="1"/>
      <c r="J245" s="2">
        <f t="shared" ref="J245:N245" si="130">J246+J248+J250</f>
        <v>3735300</v>
      </c>
      <c r="K245" s="2">
        <f t="shared" si="130"/>
        <v>3735300</v>
      </c>
      <c r="L245" s="2"/>
      <c r="M245" s="2">
        <f t="shared" si="105"/>
        <v>3735300</v>
      </c>
      <c r="N245" s="2">
        <f t="shared" si="130"/>
        <v>3735300</v>
      </c>
      <c r="O245" s="17"/>
      <c r="P245" s="2">
        <f t="shared" si="106"/>
        <v>3735300</v>
      </c>
    </row>
    <row r="246" spans="1:16" ht="36" customHeight="1" x14ac:dyDescent="0.25">
      <c r="A246" s="17"/>
      <c r="B246" s="355" t="s">
        <v>22</v>
      </c>
      <c r="C246" s="289"/>
      <c r="D246" s="289"/>
      <c r="E246" s="32">
        <v>853</v>
      </c>
      <c r="F246" s="1" t="s">
        <v>18</v>
      </c>
      <c r="G246" s="1" t="s">
        <v>1</v>
      </c>
      <c r="H246" s="1" t="s">
        <v>378</v>
      </c>
      <c r="I246" s="1" t="s">
        <v>24</v>
      </c>
      <c r="J246" s="2">
        <f t="shared" ref="J246:N246" si="131">J247</f>
        <v>3406500</v>
      </c>
      <c r="K246" s="2">
        <f t="shared" si="131"/>
        <v>3406500</v>
      </c>
      <c r="L246" s="2"/>
      <c r="M246" s="2">
        <f t="shared" si="105"/>
        <v>3406500</v>
      </c>
      <c r="N246" s="2">
        <f t="shared" si="131"/>
        <v>3406500</v>
      </c>
      <c r="O246" s="17"/>
      <c r="P246" s="2">
        <f t="shared" si="106"/>
        <v>3406500</v>
      </c>
    </row>
    <row r="247" spans="1:16" ht="14.25" customHeight="1" x14ac:dyDescent="0.25">
      <c r="A247" s="17"/>
      <c r="B247" s="355" t="s">
        <v>25</v>
      </c>
      <c r="C247" s="289"/>
      <c r="D247" s="289"/>
      <c r="E247" s="32">
        <v>853</v>
      </c>
      <c r="F247" s="1" t="s">
        <v>18</v>
      </c>
      <c r="G247" s="1" t="s">
        <v>1</v>
      </c>
      <c r="H247" s="1" t="s">
        <v>378</v>
      </c>
      <c r="I247" s="1" t="s">
        <v>26</v>
      </c>
      <c r="J247" s="2">
        <f>3406447+53</f>
        <v>3406500</v>
      </c>
      <c r="K247" s="2">
        <f t="shared" ref="K247:N247" si="132">3406447+53</f>
        <v>3406500</v>
      </c>
      <c r="L247" s="2"/>
      <c r="M247" s="2">
        <f t="shared" si="105"/>
        <v>3406500</v>
      </c>
      <c r="N247" s="2">
        <f t="shared" si="132"/>
        <v>3406500</v>
      </c>
      <c r="O247" s="17"/>
      <c r="P247" s="2">
        <f t="shared" si="106"/>
        <v>3406500</v>
      </c>
    </row>
    <row r="248" spans="1:16" ht="14.25" customHeight="1" x14ac:dyDescent="0.25">
      <c r="A248" s="17"/>
      <c r="B248" s="356" t="s">
        <v>28</v>
      </c>
      <c r="C248" s="289"/>
      <c r="D248" s="289"/>
      <c r="E248" s="32">
        <v>853</v>
      </c>
      <c r="F248" s="1" t="s">
        <v>18</v>
      </c>
      <c r="G248" s="1" t="s">
        <v>1</v>
      </c>
      <c r="H248" s="1" t="s">
        <v>378</v>
      </c>
      <c r="I248" s="1" t="s">
        <v>29</v>
      </c>
      <c r="J248" s="2">
        <f t="shared" ref="J248:N248" si="133">J249</f>
        <v>314800</v>
      </c>
      <c r="K248" s="2">
        <f t="shared" si="133"/>
        <v>314800</v>
      </c>
      <c r="L248" s="2"/>
      <c r="M248" s="2">
        <f t="shared" si="105"/>
        <v>314800</v>
      </c>
      <c r="N248" s="2">
        <f t="shared" si="133"/>
        <v>314800</v>
      </c>
      <c r="O248" s="17"/>
      <c r="P248" s="2">
        <f t="shared" si="106"/>
        <v>314800</v>
      </c>
    </row>
    <row r="249" spans="1:16" ht="26.25" customHeight="1" x14ac:dyDescent="0.25">
      <c r="A249" s="17"/>
      <c r="B249" s="356" t="s">
        <v>30</v>
      </c>
      <c r="C249" s="289"/>
      <c r="D249" s="289"/>
      <c r="E249" s="32">
        <v>853</v>
      </c>
      <c r="F249" s="1" t="s">
        <v>18</v>
      </c>
      <c r="G249" s="1" t="s">
        <v>1</v>
      </c>
      <c r="H249" s="1" t="s">
        <v>378</v>
      </c>
      <c r="I249" s="1" t="s">
        <v>31</v>
      </c>
      <c r="J249" s="2">
        <f>318400-3600</f>
        <v>314800</v>
      </c>
      <c r="K249" s="2">
        <f t="shared" ref="K249:N249" si="134">318400-3600</f>
        <v>314800</v>
      </c>
      <c r="L249" s="2"/>
      <c r="M249" s="2">
        <f t="shared" si="105"/>
        <v>314800</v>
      </c>
      <c r="N249" s="2">
        <f t="shared" si="134"/>
        <v>314800</v>
      </c>
      <c r="O249" s="17"/>
      <c r="P249" s="2">
        <f t="shared" si="106"/>
        <v>314800</v>
      </c>
    </row>
    <row r="250" spans="1:16" x14ac:dyDescent="0.25">
      <c r="A250" s="17"/>
      <c r="B250" s="356" t="s">
        <v>32</v>
      </c>
      <c r="C250" s="289"/>
      <c r="D250" s="289"/>
      <c r="E250" s="32">
        <v>853</v>
      </c>
      <c r="F250" s="1" t="s">
        <v>18</v>
      </c>
      <c r="G250" s="1" t="s">
        <v>1</v>
      </c>
      <c r="H250" s="1" t="s">
        <v>378</v>
      </c>
      <c r="I250" s="1" t="s">
        <v>33</v>
      </c>
      <c r="J250" s="2">
        <f>J251+J252</f>
        <v>14000</v>
      </c>
      <c r="K250" s="2">
        <f t="shared" ref="K250:N250" si="135">K251</f>
        <v>14000</v>
      </c>
      <c r="L250" s="2"/>
      <c r="M250" s="2">
        <f t="shared" si="105"/>
        <v>14000</v>
      </c>
      <c r="N250" s="2">
        <f t="shared" si="135"/>
        <v>14000</v>
      </c>
      <c r="O250" s="17"/>
      <c r="P250" s="2">
        <f t="shared" si="106"/>
        <v>14000</v>
      </c>
    </row>
    <row r="251" spans="1:16" ht="13.5" customHeight="1" x14ac:dyDescent="0.25">
      <c r="A251" s="17"/>
      <c r="B251" s="356" t="s">
        <v>34</v>
      </c>
      <c r="C251" s="289"/>
      <c r="D251" s="289"/>
      <c r="E251" s="74">
        <v>853</v>
      </c>
      <c r="F251" s="1" t="s">
        <v>18</v>
      </c>
      <c r="G251" s="1" t="s">
        <v>1</v>
      </c>
      <c r="H251" s="1" t="s">
        <v>378</v>
      </c>
      <c r="I251" s="1" t="s">
        <v>35</v>
      </c>
      <c r="J251" s="2">
        <f>14000-130</f>
        <v>13870</v>
      </c>
      <c r="K251" s="2">
        <v>14000</v>
      </c>
      <c r="L251" s="2"/>
      <c r="M251" s="2">
        <f t="shared" si="105"/>
        <v>14000</v>
      </c>
      <c r="N251" s="2">
        <v>14000</v>
      </c>
      <c r="O251" s="17"/>
      <c r="P251" s="2">
        <f t="shared" si="106"/>
        <v>14000</v>
      </c>
    </row>
    <row r="252" spans="1:16" ht="13.5" customHeight="1" x14ac:dyDescent="0.25">
      <c r="A252" s="17"/>
      <c r="B252" s="355" t="s">
        <v>596</v>
      </c>
      <c r="C252" s="289"/>
      <c r="D252" s="289"/>
      <c r="E252" s="74">
        <v>853</v>
      </c>
      <c r="F252" s="1" t="s">
        <v>18</v>
      </c>
      <c r="G252" s="1" t="s">
        <v>1</v>
      </c>
      <c r="H252" s="1" t="s">
        <v>378</v>
      </c>
      <c r="I252" s="1" t="s">
        <v>36</v>
      </c>
      <c r="J252" s="2">
        <v>130</v>
      </c>
      <c r="K252" s="2"/>
      <c r="L252" s="2"/>
      <c r="M252" s="2">
        <f t="shared" si="105"/>
        <v>0</v>
      </c>
      <c r="N252" s="2"/>
      <c r="O252" s="17"/>
      <c r="P252" s="2">
        <f t="shared" si="106"/>
        <v>0</v>
      </c>
    </row>
    <row r="253" spans="1:16" s="15" customFormat="1" x14ac:dyDescent="0.25">
      <c r="A253" s="589" t="s">
        <v>44</v>
      </c>
      <c r="B253" s="589"/>
      <c r="C253" s="365"/>
      <c r="D253" s="365"/>
      <c r="E253" s="74">
        <v>853</v>
      </c>
      <c r="F253" s="12" t="s">
        <v>18</v>
      </c>
      <c r="G253" s="12" t="s">
        <v>45</v>
      </c>
      <c r="H253" s="12"/>
      <c r="I253" s="12"/>
      <c r="J253" s="14">
        <f t="shared" ref="J253:P255" si="136">J254</f>
        <v>200</v>
      </c>
      <c r="K253" s="14">
        <f t="shared" si="136"/>
        <v>200</v>
      </c>
      <c r="L253" s="14">
        <f t="shared" si="136"/>
        <v>0</v>
      </c>
      <c r="M253" s="14">
        <f t="shared" si="136"/>
        <v>200</v>
      </c>
      <c r="N253" s="14">
        <f t="shared" si="136"/>
        <v>200</v>
      </c>
      <c r="O253" s="14">
        <f t="shared" si="136"/>
        <v>0</v>
      </c>
      <c r="P253" s="14">
        <f t="shared" si="136"/>
        <v>200</v>
      </c>
    </row>
    <row r="254" spans="1:16" ht="44.25" customHeight="1" x14ac:dyDescent="0.25">
      <c r="A254" s="583" t="s">
        <v>46</v>
      </c>
      <c r="B254" s="583"/>
      <c r="C254" s="289"/>
      <c r="D254" s="289"/>
      <c r="E254" s="74">
        <v>853</v>
      </c>
      <c r="F254" s="1" t="s">
        <v>18</v>
      </c>
      <c r="G254" s="1" t="s">
        <v>45</v>
      </c>
      <c r="H254" s="1" t="s">
        <v>47</v>
      </c>
      <c r="I254" s="1"/>
      <c r="J254" s="2">
        <f t="shared" si="136"/>
        <v>200</v>
      </c>
      <c r="K254" s="2">
        <f t="shared" si="136"/>
        <v>200</v>
      </c>
      <c r="L254" s="2"/>
      <c r="M254" s="2">
        <f t="shared" si="105"/>
        <v>200</v>
      </c>
      <c r="N254" s="2">
        <f t="shared" si="136"/>
        <v>200</v>
      </c>
      <c r="O254" s="17"/>
      <c r="P254" s="2">
        <f t="shared" si="106"/>
        <v>200</v>
      </c>
    </row>
    <row r="255" spans="1:16" x14ac:dyDescent="0.25">
      <c r="A255" s="17"/>
      <c r="B255" s="355" t="s">
        <v>158</v>
      </c>
      <c r="C255" s="363"/>
      <c r="D255" s="363"/>
      <c r="E255" s="32">
        <v>853</v>
      </c>
      <c r="F255" s="1" t="s">
        <v>18</v>
      </c>
      <c r="G255" s="20" t="s">
        <v>45</v>
      </c>
      <c r="H255" s="1" t="s">
        <v>47</v>
      </c>
      <c r="I255" s="1" t="s">
        <v>159</v>
      </c>
      <c r="J255" s="2">
        <f t="shared" si="136"/>
        <v>200</v>
      </c>
      <c r="K255" s="2">
        <f t="shared" si="136"/>
        <v>200</v>
      </c>
      <c r="L255" s="2"/>
      <c r="M255" s="2">
        <f t="shared" si="105"/>
        <v>200</v>
      </c>
      <c r="N255" s="2">
        <f t="shared" si="136"/>
        <v>200</v>
      </c>
      <c r="O255" s="17"/>
      <c r="P255" s="2">
        <f t="shared" si="106"/>
        <v>200</v>
      </c>
    </row>
    <row r="256" spans="1:16" x14ac:dyDescent="0.25">
      <c r="A256" s="17"/>
      <c r="B256" s="355" t="s">
        <v>160</v>
      </c>
      <c r="C256" s="363"/>
      <c r="D256" s="363"/>
      <c r="E256" s="32">
        <v>853</v>
      </c>
      <c r="F256" s="1" t="s">
        <v>18</v>
      </c>
      <c r="G256" s="20" t="s">
        <v>45</v>
      </c>
      <c r="H256" s="1" t="s">
        <v>47</v>
      </c>
      <c r="I256" s="1" t="s">
        <v>161</v>
      </c>
      <c r="J256" s="2">
        <v>200</v>
      </c>
      <c r="K256" s="2">
        <v>200</v>
      </c>
      <c r="L256" s="2"/>
      <c r="M256" s="2">
        <f t="shared" si="105"/>
        <v>200</v>
      </c>
      <c r="N256" s="2">
        <v>200</v>
      </c>
      <c r="O256" s="17"/>
      <c r="P256" s="2">
        <f t="shared" si="106"/>
        <v>200</v>
      </c>
    </row>
    <row r="257" spans="1:16" s="11" customFormat="1" x14ac:dyDescent="0.25">
      <c r="A257" s="588" t="s">
        <v>162</v>
      </c>
      <c r="B257" s="588"/>
      <c r="C257" s="364"/>
      <c r="D257" s="33"/>
      <c r="E257" s="32">
        <v>853</v>
      </c>
      <c r="F257" s="7" t="s">
        <v>74</v>
      </c>
      <c r="G257" s="7"/>
      <c r="H257" s="7"/>
      <c r="I257" s="7"/>
      <c r="J257" s="9">
        <f t="shared" ref="J257:P260" si="137">J258</f>
        <v>800617</v>
      </c>
      <c r="K257" s="9">
        <f t="shared" si="137"/>
        <v>810399</v>
      </c>
      <c r="L257" s="9">
        <f t="shared" si="137"/>
        <v>0</v>
      </c>
      <c r="M257" s="9">
        <f t="shared" si="137"/>
        <v>810399</v>
      </c>
      <c r="N257" s="9">
        <f t="shared" si="137"/>
        <v>774567</v>
      </c>
      <c r="O257" s="9">
        <f t="shared" si="137"/>
        <v>0</v>
      </c>
      <c r="P257" s="9">
        <f t="shared" si="137"/>
        <v>774567</v>
      </c>
    </row>
    <row r="258" spans="1:16" s="35" customFormat="1" x14ac:dyDescent="0.25">
      <c r="A258" s="590" t="s">
        <v>163</v>
      </c>
      <c r="B258" s="590"/>
      <c r="C258" s="369"/>
      <c r="D258" s="34"/>
      <c r="E258" s="32">
        <v>853</v>
      </c>
      <c r="F258" s="12" t="s">
        <v>74</v>
      </c>
      <c r="G258" s="12" t="s">
        <v>4</v>
      </c>
      <c r="H258" s="12"/>
      <c r="I258" s="12"/>
      <c r="J258" s="14">
        <f t="shared" si="137"/>
        <v>800617</v>
      </c>
      <c r="K258" s="14">
        <f t="shared" si="137"/>
        <v>810399</v>
      </c>
      <c r="L258" s="14">
        <f t="shared" si="137"/>
        <v>0</v>
      </c>
      <c r="M258" s="14">
        <f t="shared" si="137"/>
        <v>810399</v>
      </c>
      <c r="N258" s="14">
        <f t="shared" si="137"/>
        <v>774567</v>
      </c>
      <c r="O258" s="14">
        <f t="shared" si="137"/>
        <v>0</v>
      </c>
      <c r="P258" s="14">
        <f t="shared" si="137"/>
        <v>774567</v>
      </c>
    </row>
    <row r="259" spans="1:16" s="26" customFormat="1" ht="40.5" customHeight="1" x14ac:dyDescent="0.25">
      <c r="A259" s="595" t="s">
        <v>658</v>
      </c>
      <c r="B259" s="595"/>
      <c r="C259" s="355"/>
      <c r="E259" s="32">
        <v>853</v>
      </c>
      <c r="F259" s="145" t="s">
        <v>74</v>
      </c>
      <c r="G259" s="145" t="s">
        <v>4</v>
      </c>
      <c r="H259" s="145" t="s">
        <v>565</v>
      </c>
      <c r="I259" s="213" t="s">
        <v>164</v>
      </c>
      <c r="J259" s="44">
        <f t="shared" si="137"/>
        <v>800617</v>
      </c>
      <c r="K259" s="44">
        <f t="shared" si="137"/>
        <v>810399</v>
      </c>
      <c r="L259" s="44"/>
      <c r="M259" s="2">
        <f t="shared" si="105"/>
        <v>810399</v>
      </c>
      <c r="N259" s="44">
        <f t="shared" si="137"/>
        <v>774567</v>
      </c>
      <c r="O259" s="434"/>
      <c r="P259" s="2">
        <f t="shared" si="106"/>
        <v>774567</v>
      </c>
    </row>
    <row r="260" spans="1:16" s="26" customFormat="1" x14ac:dyDescent="0.25">
      <c r="A260" s="355"/>
      <c r="B260" s="356" t="s">
        <v>158</v>
      </c>
      <c r="C260" s="355"/>
      <c r="E260" s="32">
        <v>853</v>
      </c>
      <c r="F260" s="145" t="s">
        <v>74</v>
      </c>
      <c r="G260" s="145" t="s">
        <v>4</v>
      </c>
      <c r="H260" s="145" t="s">
        <v>565</v>
      </c>
      <c r="I260" s="145" t="s">
        <v>159</v>
      </c>
      <c r="J260" s="44">
        <f t="shared" si="137"/>
        <v>800617</v>
      </c>
      <c r="K260" s="44">
        <f t="shared" si="137"/>
        <v>810399</v>
      </c>
      <c r="L260" s="44"/>
      <c r="M260" s="2">
        <f t="shared" si="105"/>
        <v>810399</v>
      </c>
      <c r="N260" s="44">
        <f t="shared" si="137"/>
        <v>774567</v>
      </c>
      <c r="O260" s="434"/>
      <c r="P260" s="2">
        <f t="shared" si="106"/>
        <v>774567</v>
      </c>
    </row>
    <row r="261" spans="1:16" s="26" customFormat="1" x14ac:dyDescent="0.25">
      <c r="A261" s="355"/>
      <c r="B261" s="356" t="s">
        <v>160</v>
      </c>
      <c r="C261" s="355"/>
      <c r="E261" s="32">
        <v>853</v>
      </c>
      <c r="F261" s="145" t="s">
        <v>74</v>
      </c>
      <c r="G261" s="145" t="s">
        <v>4</v>
      </c>
      <c r="H261" s="145" t="s">
        <v>565</v>
      </c>
      <c r="I261" s="145" t="s">
        <v>161</v>
      </c>
      <c r="J261" s="44">
        <v>800617</v>
      </c>
      <c r="K261" s="44">
        <v>810399</v>
      </c>
      <c r="L261" s="44"/>
      <c r="M261" s="2">
        <f t="shared" si="105"/>
        <v>810399</v>
      </c>
      <c r="N261" s="44">
        <v>774567</v>
      </c>
      <c r="O261" s="434"/>
      <c r="P261" s="2">
        <f t="shared" si="106"/>
        <v>774567</v>
      </c>
    </row>
    <row r="262" spans="1:16" x14ac:dyDescent="0.25">
      <c r="A262" s="588" t="s">
        <v>85</v>
      </c>
      <c r="B262" s="588"/>
      <c r="C262" s="361"/>
      <c r="D262" s="361"/>
      <c r="E262" s="32">
        <v>853</v>
      </c>
      <c r="F262" s="7" t="s">
        <v>86</v>
      </c>
      <c r="G262" s="7"/>
      <c r="H262" s="7"/>
      <c r="I262" s="7"/>
      <c r="J262" s="9">
        <f>J263</f>
        <v>95400</v>
      </c>
      <c r="K262" s="9">
        <f>K263</f>
        <v>95400</v>
      </c>
      <c r="L262" s="9">
        <f t="shared" ref="L262:P262" si="138">L263</f>
        <v>0</v>
      </c>
      <c r="M262" s="9">
        <f t="shared" si="138"/>
        <v>95400</v>
      </c>
      <c r="N262" s="9">
        <f t="shared" si="138"/>
        <v>95400</v>
      </c>
      <c r="O262" s="9">
        <f t="shared" si="138"/>
        <v>0</v>
      </c>
      <c r="P262" s="9">
        <f t="shared" si="138"/>
        <v>95400</v>
      </c>
    </row>
    <row r="263" spans="1:16" x14ac:dyDescent="0.25">
      <c r="A263" s="589" t="s">
        <v>101</v>
      </c>
      <c r="B263" s="589"/>
      <c r="C263" s="359"/>
      <c r="D263" s="359"/>
      <c r="E263" s="32">
        <v>853</v>
      </c>
      <c r="F263" s="12" t="s">
        <v>86</v>
      </c>
      <c r="G263" s="12" t="s">
        <v>7</v>
      </c>
      <c r="H263" s="12"/>
      <c r="I263" s="12"/>
      <c r="J263" s="25">
        <f t="shared" ref="J263:P265" si="139">J264</f>
        <v>95400</v>
      </c>
      <c r="K263" s="25">
        <f t="shared" si="139"/>
        <v>95400</v>
      </c>
      <c r="L263" s="25">
        <f t="shared" si="139"/>
        <v>0</v>
      </c>
      <c r="M263" s="25">
        <f t="shared" si="139"/>
        <v>95400</v>
      </c>
      <c r="N263" s="25">
        <f t="shared" si="139"/>
        <v>95400</v>
      </c>
      <c r="O263" s="25">
        <f t="shared" si="139"/>
        <v>0</v>
      </c>
      <c r="P263" s="25">
        <f t="shared" si="139"/>
        <v>95400</v>
      </c>
    </row>
    <row r="264" spans="1:16" ht="36.75" customHeight="1" x14ac:dyDescent="0.25">
      <c r="A264" s="583" t="s">
        <v>88</v>
      </c>
      <c r="B264" s="583"/>
      <c r="C264" s="356"/>
      <c r="D264" s="356"/>
      <c r="E264" s="289">
        <v>853</v>
      </c>
      <c r="F264" s="1" t="s">
        <v>86</v>
      </c>
      <c r="G264" s="1" t="s">
        <v>18</v>
      </c>
      <c r="H264" s="1" t="s">
        <v>165</v>
      </c>
      <c r="I264" s="1"/>
      <c r="J264" s="2">
        <f t="shared" si="139"/>
        <v>95400</v>
      </c>
      <c r="K264" s="2">
        <f t="shared" si="139"/>
        <v>95400</v>
      </c>
      <c r="L264" s="2"/>
      <c r="M264" s="2">
        <f t="shared" si="105"/>
        <v>95400</v>
      </c>
      <c r="N264" s="2">
        <f t="shared" si="139"/>
        <v>95400</v>
      </c>
      <c r="O264" s="17"/>
      <c r="P264" s="2">
        <f t="shared" si="106"/>
        <v>95400</v>
      </c>
    </row>
    <row r="265" spans="1:16" x14ac:dyDescent="0.25">
      <c r="A265" s="17"/>
      <c r="B265" s="356" t="s">
        <v>158</v>
      </c>
      <c r="C265" s="355"/>
      <c r="D265" s="355"/>
      <c r="E265" s="32">
        <v>853</v>
      </c>
      <c r="F265" s="1" t="s">
        <v>86</v>
      </c>
      <c r="G265" s="1" t="s">
        <v>7</v>
      </c>
      <c r="H265" s="1" t="s">
        <v>165</v>
      </c>
      <c r="I265" s="1" t="s">
        <v>159</v>
      </c>
      <c r="J265" s="2">
        <f t="shared" si="139"/>
        <v>95400</v>
      </c>
      <c r="K265" s="2">
        <f t="shared" si="139"/>
        <v>95400</v>
      </c>
      <c r="L265" s="2"/>
      <c r="M265" s="2">
        <f t="shared" si="105"/>
        <v>95400</v>
      </c>
      <c r="N265" s="2">
        <f t="shared" si="139"/>
        <v>95400</v>
      </c>
      <c r="O265" s="17"/>
      <c r="P265" s="2">
        <f t="shared" si="106"/>
        <v>95400</v>
      </c>
    </row>
    <row r="266" spans="1:16" x14ac:dyDescent="0.25">
      <c r="A266" s="356"/>
      <c r="B266" s="356" t="s">
        <v>160</v>
      </c>
      <c r="C266" s="356"/>
      <c r="D266" s="356"/>
      <c r="E266" s="32">
        <v>853</v>
      </c>
      <c r="F266" s="1" t="s">
        <v>86</v>
      </c>
      <c r="G266" s="1" t="s">
        <v>7</v>
      </c>
      <c r="H266" s="1" t="s">
        <v>165</v>
      </c>
      <c r="I266" s="1" t="s">
        <v>161</v>
      </c>
      <c r="J266" s="2">
        <v>95400</v>
      </c>
      <c r="K266" s="2">
        <v>95400</v>
      </c>
      <c r="L266" s="2"/>
      <c r="M266" s="2">
        <f t="shared" si="105"/>
        <v>95400</v>
      </c>
      <c r="N266" s="2">
        <v>95400</v>
      </c>
      <c r="O266" s="17"/>
      <c r="P266" s="2">
        <f t="shared" si="106"/>
        <v>95400</v>
      </c>
    </row>
    <row r="267" spans="1:16" ht="28.5" customHeight="1" x14ac:dyDescent="0.25">
      <c r="A267" s="588" t="s">
        <v>166</v>
      </c>
      <c r="B267" s="588"/>
      <c r="C267" s="361"/>
      <c r="D267" s="361"/>
      <c r="E267" s="32">
        <v>853</v>
      </c>
      <c r="F267" s="39" t="s">
        <v>167</v>
      </c>
      <c r="G267" s="39"/>
      <c r="H267" s="39"/>
      <c r="I267" s="39"/>
      <c r="J267" s="41">
        <f t="shared" ref="J267:K267" si="140">J268+J272</f>
        <v>14489000</v>
      </c>
      <c r="K267" s="41">
        <f t="shared" si="140"/>
        <v>18671000</v>
      </c>
      <c r="L267" s="41">
        <f t="shared" ref="L267:P267" si="141">L268+L272</f>
        <v>-1278900</v>
      </c>
      <c r="M267" s="41">
        <f t="shared" si="141"/>
        <v>17392100</v>
      </c>
      <c r="N267" s="41">
        <f t="shared" si="141"/>
        <v>14721000</v>
      </c>
      <c r="O267" s="41">
        <f t="shared" si="141"/>
        <v>-883900</v>
      </c>
      <c r="P267" s="41">
        <f t="shared" si="141"/>
        <v>13837100</v>
      </c>
    </row>
    <row r="268" spans="1:16" ht="24" customHeight="1" x14ac:dyDescent="0.25">
      <c r="A268" s="589" t="s">
        <v>168</v>
      </c>
      <c r="B268" s="589"/>
      <c r="C268" s="359"/>
      <c r="D268" s="359"/>
      <c r="E268" s="32">
        <v>853</v>
      </c>
      <c r="F268" s="22" t="s">
        <v>167</v>
      </c>
      <c r="G268" s="22" t="s">
        <v>18</v>
      </c>
      <c r="H268" s="212"/>
      <c r="I268" s="22"/>
      <c r="J268" s="43">
        <f t="shared" ref="J268:P270" si="142">J269</f>
        <v>5882000</v>
      </c>
      <c r="K268" s="43">
        <f t="shared" si="142"/>
        <v>5882000</v>
      </c>
      <c r="L268" s="43">
        <f t="shared" si="142"/>
        <v>0</v>
      </c>
      <c r="M268" s="43">
        <f t="shared" si="142"/>
        <v>5882000</v>
      </c>
      <c r="N268" s="43">
        <f t="shared" si="142"/>
        <v>5882000</v>
      </c>
      <c r="O268" s="43">
        <f t="shared" si="142"/>
        <v>0</v>
      </c>
      <c r="P268" s="43">
        <f t="shared" si="142"/>
        <v>5882000</v>
      </c>
    </row>
    <row r="269" spans="1:16" x14ac:dyDescent="0.25">
      <c r="A269" s="583" t="s">
        <v>169</v>
      </c>
      <c r="B269" s="583"/>
      <c r="C269" s="359"/>
      <c r="D269" s="359"/>
      <c r="E269" s="32">
        <v>853</v>
      </c>
      <c r="F269" s="22" t="s">
        <v>167</v>
      </c>
      <c r="G269" s="22" t="s">
        <v>18</v>
      </c>
      <c r="H269" s="20" t="s">
        <v>170</v>
      </c>
      <c r="I269" s="22"/>
      <c r="J269" s="44">
        <f t="shared" si="142"/>
        <v>5882000</v>
      </c>
      <c r="K269" s="44">
        <f t="shared" si="142"/>
        <v>5882000</v>
      </c>
      <c r="L269" s="44">
        <f t="shared" si="142"/>
        <v>0</v>
      </c>
      <c r="M269" s="44">
        <f t="shared" si="142"/>
        <v>5882000</v>
      </c>
      <c r="N269" s="44">
        <f t="shared" si="142"/>
        <v>5882000</v>
      </c>
      <c r="O269" s="44">
        <f t="shared" si="142"/>
        <v>0</v>
      </c>
      <c r="P269" s="44">
        <f t="shared" si="142"/>
        <v>5882000</v>
      </c>
    </row>
    <row r="270" spans="1:16" x14ac:dyDescent="0.25">
      <c r="A270" s="17"/>
      <c r="B270" s="355" t="s">
        <v>158</v>
      </c>
      <c r="C270" s="363"/>
      <c r="D270" s="363"/>
      <c r="E270" s="32">
        <v>853</v>
      </c>
      <c r="F270" s="1" t="s">
        <v>167</v>
      </c>
      <c r="G270" s="1" t="s">
        <v>18</v>
      </c>
      <c r="H270" s="20" t="s">
        <v>170</v>
      </c>
      <c r="I270" s="1" t="s">
        <v>159</v>
      </c>
      <c r="J270" s="2">
        <f t="shared" si="142"/>
        <v>5882000</v>
      </c>
      <c r="K270" s="2">
        <f t="shared" si="142"/>
        <v>5882000</v>
      </c>
      <c r="L270" s="2">
        <f t="shared" si="142"/>
        <v>0</v>
      </c>
      <c r="M270" s="2">
        <f t="shared" si="142"/>
        <v>5882000</v>
      </c>
      <c r="N270" s="2">
        <f t="shared" si="142"/>
        <v>5882000</v>
      </c>
      <c r="O270" s="2">
        <f t="shared" si="142"/>
        <v>0</v>
      </c>
      <c r="P270" s="2">
        <f t="shared" si="142"/>
        <v>5882000</v>
      </c>
    </row>
    <row r="271" spans="1:16" x14ac:dyDescent="0.25">
      <c r="A271" s="17"/>
      <c r="B271" s="356" t="s">
        <v>171</v>
      </c>
      <c r="C271" s="357"/>
      <c r="D271" s="357"/>
      <c r="E271" s="32">
        <v>853</v>
      </c>
      <c r="F271" s="1" t="s">
        <v>167</v>
      </c>
      <c r="G271" s="1" t="s">
        <v>18</v>
      </c>
      <c r="H271" s="20" t="s">
        <v>170</v>
      </c>
      <c r="I271" s="1" t="s">
        <v>172</v>
      </c>
      <c r="J271" s="2">
        <v>5882000</v>
      </c>
      <c r="K271" s="2">
        <v>5882000</v>
      </c>
      <c r="L271" s="2"/>
      <c r="M271" s="2">
        <f t="shared" ref="M271:M301" si="143">K271+L271</f>
        <v>5882000</v>
      </c>
      <c r="N271" s="2">
        <v>5882000</v>
      </c>
      <c r="O271" s="17"/>
      <c r="P271" s="2">
        <f t="shared" ref="P271:P301" si="144">N271+O271</f>
        <v>5882000</v>
      </c>
    </row>
    <row r="272" spans="1:16" x14ac:dyDescent="0.25">
      <c r="A272" s="584" t="s">
        <v>173</v>
      </c>
      <c r="B272" s="584"/>
      <c r="C272" s="362"/>
      <c r="D272" s="362"/>
      <c r="E272" s="32">
        <v>853</v>
      </c>
      <c r="F272" s="12" t="s">
        <v>167</v>
      </c>
      <c r="G272" s="12" t="s">
        <v>74</v>
      </c>
      <c r="H272" s="12"/>
      <c r="I272" s="12"/>
      <c r="J272" s="14">
        <f>J273</f>
        <v>8607000</v>
      </c>
      <c r="K272" s="14">
        <f>K273</f>
        <v>12789000</v>
      </c>
      <c r="L272" s="14">
        <f t="shared" ref="L272:P272" si="145">L273</f>
        <v>-1278900</v>
      </c>
      <c r="M272" s="14">
        <f t="shared" si="145"/>
        <v>11510100</v>
      </c>
      <c r="N272" s="14">
        <f t="shared" si="145"/>
        <v>8839000</v>
      </c>
      <c r="O272" s="14">
        <f t="shared" si="145"/>
        <v>-883900</v>
      </c>
      <c r="P272" s="14">
        <f t="shared" si="145"/>
        <v>7955100</v>
      </c>
    </row>
    <row r="273" spans="1:16" ht="14.25" customHeight="1" x14ac:dyDescent="0.25">
      <c r="A273" s="591" t="s">
        <v>174</v>
      </c>
      <c r="B273" s="591"/>
      <c r="C273" s="363"/>
      <c r="D273" s="363"/>
      <c r="E273" s="32">
        <v>853</v>
      </c>
      <c r="F273" s="1" t="s">
        <v>167</v>
      </c>
      <c r="G273" s="1" t="s">
        <v>74</v>
      </c>
      <c r="H273" s="1" t="s">
        <v>175</v>
      </c>
      <c r="I273" s="1"/>
      <c r="J273" s="2">
        <f t="shared" ref="J273:P274" si="146">J274</f>
        <v>8607000</v>
      </c>
      <c r="K273" s="2">
        <f t="shared" si="146"/>
        <v>12789000</v>
      </c>
      <c r="L273" s="2">
        <f t="shared" si="146"/>
        <v>-1278900</v>
      </c>
      <c r="M273" s="2">
        <f t="shared" si="146"/>
        <v>11510100</v>
      </c>
      <c r="N273" s="2">
        <f t="shared" si="146"/>
        <v>8839000</v>
      </c>
      <c r="O273" s="2">
        <f t="shared" si="146"/>
        <v>-883900</v>
      </c>
      <c r="P273" s="2">
        <f t="shared" si="146"/>
        <v>7955100</v>
      </c>
    </row>
    <row r="274" spans="1:16" x14ac:dyDescent="0.25">
      <c r="A274" s="17"/>
      <c r="B274" s="355" t="s">
        <v>158</v>
      </c>
      <c r="C274" s="49"/>
      <c r="D274" s="363"/>
      <c r="E274" s="32">
        <v>853</v>
      </c>
      <c r="F274" s="1" t="s">
        <v>167</v>
      </c>
      <c r="G274" s="1" t="s">
        <v>74</v>
      </c>
      <c r="H274" s="1" t="s">
        <v>175</v>
      </c>
      <c r="I274" s="1" t="s">
        <v>159</v>
      </c>
      <c r="J274" s="2">
        <f t="shared" si="146"/>
        <v>8607000</v>
      </c>
      <c r="K274" s="2">
        <f t="shared" si="146"/>
        <v>12789000</v>
      </c>
      <c r="L274" s="2">
        <f t="shared" si="146"/>
        <v>-1278900</v>
      </c>
      <c r="M274" s="2">
        <f t="shared" si="146"/>
        <v>11510100</v>
      </c>
      <c r="N274" s="2">
        <f t="shared" si="146"/>
        <v>8839000</v>
      </c>
      <c r="O274" s="2">
        <f t="shared" si="146"/>
        <v>-883900</v>
      </c>
      <c r="P274" s="2">
        <f t="shared" si="146"/>
        <v>7955100</v>
      </c>
    </row>
    <row r="275" spans="1:16" x14ac:dyDescent="0.25">
      <c r="A275" s="17"/>
      <c r="B275" s="356" t="s">
        <v>171</v>
      </c>
      <c r="C275" s="47"/>
      <c r="D275" s="357"/>
      <c r="E275" s="32">
        <v>853</v>
      </c>
      <c r="F275" s="1" t="s">
        <v>167</v>
      </c>
      <c r="G275" s="1" t="s">
        <v>74</v>
      </c>
      <c r="H275" s="1" t="s">
        <v>175</v>
      </c>
      <c r="I275" s="1" t="s">
        <v>172</v>
      </c>
      <c r="J275" s="2">
        <v>8607000</v>
      </c>
      <c r="K275" s="2">
        <v>12789000</v>
      </c>
      <c r="L275" s="2">
        <v>-1278900</v>
      </c>
      <c r="M275" s="2">
        <f t="shared" si="143"/>
        <v>11510100</v>
      </c>
      <c r="N275" s="2">
        <v>8839000</v>
      </c>
      <c r="O275" s="17">
        <v>-883900</v>
      </c>
      <c r="P275" s="2">
        <f t="shared" si="144"/>
        <v>7955100</v>
      </c>
    </row>
    <row r="276" spans="1:16" ht="15" customHeight="1" x14ac:dyDescent="0.25">
      <c r="A276" s="589" t="s">
        <v>181</v>
      </c>
      <c r="B276" s="589"/>
      <c r="E276" s="32">
        <v>853</v>
      </c>
      <c r="F276" s="144" t="s">
        <v>182</v>
      </c>
      <c r="G276" s="120" t="s">
        <v>164</v>
      </c>
      <c r="H276" s="369" t="s">
        <v>164</v>
      </c>
      <c r="I276" s="369" t="s">
        <v>164</v>
      </c>
      <c r="J276" s="14">
        <f t="shared" ref="J276:P278" si="147">J277</f>
        <v>0</v>
      </c>
      <c r="K276" s="14">
        <f t="shared" si="147"/>
        <v>3647342</v>
      </c>
      <c r="L276" s="14">
        <f t="shared" si="147"/>
        <v>0</v>
      </c>
      <c r="M276" s="14">
        <f t="shared" si="147"/>
        <v>3647342</v>
      </c>
      <c r="N276" s="14">
        <f t="shared" si="147"/>
        <v>7303147</v>
      </c>
      <c r="O276" s="14">
        <f t="shared" si="147"/>
        <v>0</v>
      </c>
      <c r="P276" s="14">
        <f t="shared" si="147"/>
        <v>7303147</v>
      </c>
    </row>
    <row r="277" spans="1:16" ht="15" customHeight="1" x14ac:dyDescent="0.25">
      <c r="A277" s="589" t="s">
        <v>181</v>
      </c>
      <c r="B277" s="589"/>
      <c r="E277" s="32">
        <v>853</v>
      </c>
      <c r="F277" s="144" t="s">
        <v>182</v>
      </c>
      <c r="G277" s="268" t="s">
        <v>182</v>
      </c>
      <c r="H277" s="369" t="s">
        <v>164</v>
      </c>
      <c r="I277" s="369" t="s">
        <v>164</v>
      </c>
      <c r="J277" s="14">
        <f t="shared" si="147"/>
        <v>0</v>
      </c>
      <c r="K277" s="14">
        <f t="shared" si="147"/>
        <v>3647342</v>
      </c>
      <c r="L277" s="14">
        <f t="shared" si="147"/>
        <v>0</v>
      </c>
      <c r="M277" s="14">
        <f t="shared" si="147"/>
        <v>3647342</v>
      </c>
      <c r="N277" s="14">
        <f t="shared" si="147"/>
        <v>7303147</v>
      </c>
      <c r="O277" s="14">
        <f t="shared" si="147"/>
        <v>0</v>
      </c>
      <c r="P277" s="14">
        <f t="shared" si="147"/>
        <v>7303147</v>
      </c>
    </row>
    <row r="278" spans="1:16" x14ac:dyDescent="0.25">
      <c r="A278" s="17"/>
      <c r="B278" s="356" t="s">
        <v>181</v>
      </c>
      <c r="E278" s="32">
        <v>853</v>
      </c>
      <c r="F278" s="145" t="s">
        <v>182</v>
      </c>
      <c r="G278" s="146" t="s">
        <v>182</v>
      </c>
      <c r="H278" s="289" t="s">
        <v>183</v>
      </c>
      <c r="I278" s="355" t="s">
        <v>164</v>
      </c>
      <c r="J278" s="2">
        <f t="shared" si="147"/>
        <v>0</v>
      </c>
      <c r="K278" s="2">
        <f t="shared" si="147"/>
        <v>3647342</v>
      </c>
      <c r="L278" s="2"/>
      <c r="M278" s="2">
        <f t="shared" si="143"/>
        <v>3647342</v>
      </c>
      <c r="N278" s="2">
        <f t="shared" si="147"/>
        <v>7303147</v>
      </c>
      <c r="O278" s="17"/>
      <c r="P278" s="2">
        <f t="shared" si="144"/>
        <v>7303147</v>
      </c>
    </row>
    <row r="279" spans="1:16" x14ac:dyDescent="0.25">
      <c r="A279" s="17"/>
      <c r="B279" s="356" t="s">
        <v>181</v>
      </c>
      <c r="E279" s="32">
        <v>853</v>
      </c>
      <c r="F279" s="145" t="s">
        <v>182</v>
      </c>
      <c r="G279" s="146" t="s">
        <v>182</v>
      </c>
      <c r="H279" s="289" t="s">
        <v>183</v>
      </c>
      <c r="I279" s="289" t="s">
        <v>184</v>
      </c>
      <c r="J279" s="2"/>
      <c r="K279" s="2">
        <f>3100000+286000-300000+127000+434342</f>
        <v>3647342</v>
      </c>
      <c r="L279" s="2"/>
      <c r="M279" s="2">
        <f t="shared" si="143"/>
        <v>3647342</v>
      </c>
      <c r="N279" s="2">
        <f>5600000+1170000+118000+415147</f>
        <v>7303147</v>
      </c>
      <c r="O279" s="17"/>
      <c r="P279" s="2">
        <f t="shared" si="144"/>
        <v>7303147</v>
      </c>
    </row>
    <row r="280" spans="1:16" s="11" customFormat="1" ht="17.25" customHeight="1" x14ac:dyDescent="0.25">
      <c r="A280" s="592" t="s">
        <v>176</v>
      </c>
      <c r="B280" s="592"/>
      <c r="C280" s="46"/>
      <c r="D280" s="46"/>
      <c r="E280" s="372">
        <v>854</v>
      </c>
      <c r="F280" s="370"/>
      <c r="G280" s="7"/>
      <c r="H280" s="7"/>
      <c r="I280" s="7"/>
      <c r="J280" s="9">
        <f t="shared" ref="J280:P280" si="148">J281</f>
        <v>1416920</v>
      </c>
      <c r="K280" s="9">
        <f t="shared" si="148"/>
        <v>1416920</v>
      </c>
      <c r="L280" s="9">
        <f t="shared" si="148"/>
        <v>0</v>
      </c>
      <c r="M280" s="9">
        <f t="shared" si="148"/>
        <v>1416920</v>
      </c>
      <c r="N280" s="9">
        <f t="shared" si="148"/>
        <v>1416920</v>
      </c>
      <c r="O280" s="9">
        <f t="shared" si="148"/>
        <v>0</v>
      </c>
      <c r="P280" s="9">
        <f t="shared" si="148"/>
        <v>1416920</v>
      </c>
    </row>
    <row r="281" spans="1:16" s="11" customFormat="1" x14ac:dyDescent="0.25">
      <c r="A281" s="588" t="s">
        <v>17</v>
      </c>
      <c r="B281" s="588"/>
      <c r="C281" s="364"/>
      <c r="D281" s="364"/>
      <c r="E281" s="374">
        <v>854</v>
      </c>
      <c r="F281" s="7" t="s">
        <v>18</v>
      </c>
      <c r="G281" s="7"/>
      <c r="H281" s="7"/>
      <c r="I281" s="7"/>
      <c r="J281" s="9">
        <f>J282+J286</f>
        <v>1416920</v>
      </c>
      <c r="K281" s="9">
        <f t="shared" ref="K281" si="149">K282+K286</f>
        <v>1416920</v>
      </c>
      <c r="L281" s="9">
        <f t="shared" ref="L281:P281" si="150">L282+L286</f>
        <v>0</v>
      </c>
      <c r="M281" s="9">
        <f t="shared" si="150"/>
        <v>1416920</v>
      </c>
      <c r="N281" s="9">
        <f t="shared" si="150"/>
        <v>1416920</v>
      </c>
      <c r="O281" s="9">
        <f t="shared" si="150"/>
        <v>0</v>
      </c>
      <c r="P281" s="9">
        <f t="shared" si="150"/>
        <v>1416920</v>
      </c>
    </row>
    <row r="282" spans="1:16" s="11" customFormat="1" ht="24" customHeight="1" x14ac:dyDescent="0.25">
      <c r="A282" s="572" t="s">
        <v>581</v>
      </c>
      <c r="B282" s="573"/>
      <c r="C282" s="364"/>
      <c r="D282" s="364"/>
      <c r="E282" s="289">
        <v>854</v>
      </c>
      <c r="F282" s="12" t="s">
        <v>18</v>
      </c>
      <c r="G282" s="12" t="s">
        <v>74</v>
      </c>
      <c r="H282" s="12"/>
      <c r="I282" s="12"/>
      <c r="J282" s="14">
        <f t="shared" ref="J282:P284" si="151">J283</f>
        <v>789500</v>
      </c>
      <c r="K282" s="14">
        <f t="shared" si="151"/>
        <v>789500</v>
      </c>
      <c r="L282" s="14">
        <f t="shared" si="151"/>
        <v>0</v>
      </c>
      <c r="M282" s="14">
        <f t="shared" si="151"/>
        <v>789500</v>
      </c>
      <c r="N282" s="14">
        <f t="shared" si="151"/>
        <v>789500</v>
      </c>
      <c r="O282" s="14">
        <f t="shared" si="151"/>
        <v>0</v>
      </c>
      <c r="P282" s="14">
        <f t="shared" si="151"/>
        <v>789500</v>
      </c>
    </row>
    <row r="283" spans="1:16" x14ac:dyDescent="0.25">
      <c r="A283" s="552" t="s">
        <v>582</v>
      </c>
      <c r="B283" s="553"/>
      <c r="C283" s="356"/>
      <c r="D283" s="356"/>
      <c r="E283" s="289">
        <v>854</v>
      </c>
      <c r="F283" s="1" t="s">
        <v>23</v>
      </c>
      <c r="G283" s="1" t="s">
        <v>74</v>
      </c>
      <c r="H283" s="1" t="s">
        <v>583</v>
      </c>
      <c r="I283" s="1"/>
      <c r="J283" s="2">
        <f t="shared" si="151"/>
        <v>789500</v>
      </c>
      <c r="K283" s="2">
        <f t="shared" si="151"/>
        <v>789500</v>
      </c>
      <c r="L283" s="2"/>
      <c r="M283" s="2">
        <f t="shared" si="143"/>
        <v>789500</v>
      </c>
      <c r="N283" s="2">
        <f t="shared" si="151"/>
        <v>789500</v>
      </c>
      <c r="O283" s="17"/>
      <c r="P283" s="2">
        <f t="shared" si="144"/>
        <v>789500</v>
      </c>
    </row>
    <row r="284" spans="1:16" s="11" customFormat="1" ht="38.25" customHeight="1" x14ac:dyDescent="0.25">
      <c r="A284" s="364"/>
      <c r="B284" s="355" t="s">
        <v>22</v>
      </c>
      <c r="C284" s="364"/>
      <c r="D284" s="364"/>
      <c r="E284" s="289">
        <v>854</v>
      </c>
      <c r="F284" s="1" t="s">
        <v>18</v>
      </c>
      <c r="G284" s="1" t="s">
        <v>74</v>
      </c>
      <c r="H284" s="1" t="s">
        <v>583</v>
      </c>
      <c r="I284" s="1" t="s">
        <v>24</v>
      </c>
      <c r="J284" s="2">
        <f t="shared" si="151"/>
        <v>789500</v>
      </c>
      <c r="K284" s="2">
        <f t="shared" si="151"/>
        <v>789500</v>
      </c>
      <c r="L284" s="2"/>
      <c r="M284" s="2">
        <f t="shared" si="143"/>
        <v>789500</v>
      </c>
      <c r="N284" s="2">
        <f t="shared" si="151"/>
        <v>789500</v>
      </c>
      <c r="O284" s="243"/>
      <c r="P284" s="2">
        <f t="shared" si="144"/>
        <v>789500</v>
      </c>
    </row>
    <row r="285" spans="1:16" s="11" customFormat="1" ht="14.25" customHeight="1" x14ac:dyDescent="0.25">
      <c r="A285" s="364"/>
      <c r="B285" s="355" t="s">
        <v>25</v>
      </c>
      <c r="C285" s="364"/>
      <c r="D285" s="364"/>
      <c r="E285" s="289">
        <v>854</v>
      </c>
      <c r="F285" s="1" t="s">
        <v>18</v>
      </c>
      <c r="G285" s="1" t="s">
        <v>74</v>
      </c>
      <c r="H285" s="1" t="s">
        <v>583</v>
      </c>
      <c r="I285" s="1" t="s">
        <v>26</v>
      </c>
      <c r="J285" s="2">
        <f>759700+29800</f>
        <v>789500</v>
      </c>
      <c r="K285" s="2">
        <v>789500</v>
      </c>
      <c r="L285" s="2"/>
      <c r="M285" s="2">
        <f t="shared" si="143"/>
        <v>789500</v>
      </c>
      <c r="N285" s="2">
        <v>789500</v>
      </c>
      <c r="O285" s="236"/>
      <c r="P285" s="2">
        <f t="shared" si="144"/>
        <v>789500</v>
      </c>
    </row>
    <row r="286" spans="1:16" s="15" customFormat="1" ht="24" customHeight="1" x14ac:dyDescent="0.25">
      <c r="A286" s="589" t="s">
        <v>177</v>
      </c>
      <c r="B286" s="589"/>
      <c r="C286" s="365"/>
      <c r="D286" s="365"/>
      <c r="E286" s="289">
        <v>854</v>
      </c>
      <c r="F286" s="12" t="s">
        <v>18</v>
      </c>
      <c r="G286" s="12" t="s">
        <v>4</v>
      </c>
      <c r="H286" s="12"/>
      <c r="I286" s="12"/>
      <c r="J286" s="14">
        <f t="shared" ref="J286:P286" si="152">J287</f>
        <v>627420</v>
      </c>
      <c r="K286" s="14">
        <f t="shared" si="152"/>
        <v>627420</v>
      </c>
      <c r="L286" s="14">
        <f t="shared" si="152"/>
        <v>0</v>
      </c>
      <c r="M286" s="14">
        <f t="shared" si="152"/>
        <v>627420</v>
      </c>
      <c r="N286" s="14">
        <f t="shared" si="152"/>
        <v>627420</v>
      </c>
      <c r="O286" s="14">
        <f t="shared" si="152"/>
        <v>0</v>
      </c>
      <c r="P286" s="14">
        <f t="shared" si="152"/>
        <v>627420</v>
      </c>
    </row>
    <row r="287" spans="1:16" ht="24.75" customHeight="1" x14ac:dyDescent="0.25">
      <c r="A287" s="583" t="s">
        <v>27</v>
      </c>
      <c r="B287" s="583"/>
      <c r="C287" s="289"/>
      <c r="D287" s="289"/>
      <c r="E287" s="289">
        <v>854</v>
      </c>
      <c r="F287" s="1" t="s">
        <v>23</v>
      </c>
      <c r="G287" s="1" t="s">
        <v>4</v>
      </c>
      <c r="H287" s="1" t="s">
        <v>559</v>
      </c>
      <c r="I287" s="1"/>
      <c r="J287" s="2">
        <f t="shared" ref="J287:N287" si="153">J288+J290+J292</f>
        <v>627420</v>
      </c>
      <c r="K287" s="2">
        <f t="shared" si="153"/>
        <v>627420</v>
      </c>
      <c r="L287" s="2"/>
      <c r="M287" s="2">
        <f t="shared" si="143"/>
        <v>627420</v>
      </c>
      <c r="N287" s="2">
        <f t="shared" si="153"/>
        <v>627420</v>
      </c>
      <c r="O287" s="236"/>
      <c r="P287" s="2">
        <f t="shared" si="144"/>
        <v>627420</v>
      </c>
    </row>
    <row r="288" spans="1:16" ht="38.25" customHeight="1" x14ac:dyDescent="0.25">
      <c r="A288" s="17"/>
      <c r="B288" s="355" t="s">
        <v>22</v>
      </c>
      <c r="C288" s="289"/>
      <c r="D288" s="289"/>
      <c r="E288" s="289">
        <v>854</v>
      </c>
      <c r="F288" s="1" t="s">
        <v>18</v>
      </c>
      <c r="G288" s="1" t="s">
        <v>4</v>
      </c>
      <c r="H288" s="1" t="s">
        <v>559</v>
      </c>
      <c r="I288" s="1" t="s">
        <v>24</v>
      </c>
      <c r="J288" s="2">
        <f t="shared" ref="J288:N288" si="154">J289</f>
        <v>418200</v>
      </c>
      <c r="K288" s="2">
        <f t="shared" si="154"/>
        <v>418200</v>
      </c>
      <c r="L288" s="2"/>
      <c r="M288" s="2">
        <f t="shared" si="143"/>
        <v>418200</v>
      </c>
      <c r="N288" s="2">
        <f t="shared" si="154"/>
        <v>418200</v>
      </c>
      <c r="O288" s="236"/>
      <c r="P288" s="2">
        <f t="shared" si="144"/>
        <v>418200</v>
      </c>
    </row>
    <row r="289" spans="1:16" ht="15" customHeight="1" x14ac:dyDescent="0.25">
      <c r="A289" s="17"/>
      <c r="B289" s="355" t="s">
        <v>25</v>
      </c>
      <c r="C289" s="289"/>
      <c r="D289" s="289"/>
      <c r="E289" s="289">
        <v>854</v>
      </c>
      <c r="F289" s="1" t="s">
        <v>18</v>
      </c>
      <c r="G289" s="1" t="s">
        <v>4</v>
      </c>
      <c r="H289" s="1" t="s">
        <v>559</v>
      </c>
      <c r="I289" s="1" t="s">
        <v>26</v>
      </c>
      <c r="J289" s="2">
        <f>230300+187900</f>
        <v>418200</v>
      </c>
      <c r="K289" s="2">
        <v>418200</v>
      </c>
      <c r="L289" s="2"/>
      <c r="M289" s="2">
        <f t="shared" si="143"/>
        <v>418200</v>
      </c>
      <c r="N289" s="2">
        <v>418200</v>
      </c>
      <c r="O289" s="236"/>
      <c r="P289" s="2">
        <f t="shared" si="144"/>
        <v>418200</v>
      </c>
    </row>
    <row r="290" spans="1:16" ht="15" customHeight="1" x14ac:dyDescent="0.25">
      <c r="A290" s="17"/>
      <c r="B290" s="356" t="s">
        <v>28</v>
      </c>
      <c r="C290" s="289"/>
      <c r="D290" s="289"/>
      <c r="E290" s="289">
        <v>854</v>
      </c>
      <c r="F290" s="1" t="s">
        <v>18</v>
      </c>
      <c r="G290" s="1" t="s">
        <v>4</v>
      </c>
      <c r="H290" s="1" t="s">
        <v>559</v>
      </c>
      <c r="I290" s="1" t="s">
        <v>29</v>
      </c>
      <c r="J290" s="2">
        <f t="shared" ref="J290:N290" si="155">J291</f>
        <v>208700</v>
      </c>
      <c r="K290" s="2">
        <f t="shared" si="155"/>
        <v>208700</v>
      </c>
      <c r="L290" s="2"/>
      <c r="M290" s="2">
        <f t="shared" si="143"/>
        <v>208700</v>
      </c>
      <c r="N290" s="2">
        <f t="shared" si="155"/>
        <v>208700</v>
      </c>
      <c r="O290" s="236"/>
      <c r="P290" s="2">
        <f t="shared" si="144"/>
        <v>208700</v>
      </c>
    </row>
    <row r="291" spans="1:16" ht="24.75" customHeight="1" x14ac:dyDescent="0.25">
      <c r="A291" s="17"/>
      <c r="B291" s="356" t="s">
        <v>30</v>
      </c>
      <c r="C291" s="289"/>
      <c r="D291" s="289"/>
      <c r="E291" s="289">
        <v>854</v>
      </c>
      <c r="F291" s="1" t="s">
        <v>18</v>
      </c>
      <c r="G291" s="1" t="s">
        <v>4</v>
      </c>
      <c r="H291" s="1" t="s">
        <v>559</v>
      </c>
      <c r="I291" s="1" t="s">
        <v>31</v>
      </c>
      <c r="J291" s="2">
        <f>54800+150720+3500-320</f>
        <v>208700</v>
      </c>
      <c r="K291" s="2">
        <v>208700</v>
      </c>
      <c r="L291" s="2"/>
      <c r="M291" s="2">
        <f t="shared" si="143"/>
        <v>208700</v>
      </c>
      <c r="N291" s="2">
        <v>208700</v>
      </c>
      <c r="O291" s="236"/>
      <c r="P291" s="2">
        <f t="shared" si="144"/>
        <v>208700</v>
      </c>
    </row>
    <row r="292" spans="1:16" x14ac:dyDescent="0.25">
      <c r="A292" s="17"/>
      <c r="B292" s="356" t="s">
        <v>32</v>
      </c>
      <c r="C292" s="289"/>
      <c r="D292" s="289"/>
      <c r="E292" s="289">
        <v>854</v>
      </c>
      <c r="F292" s="1" t="s">
        <v>18</v>
      </c>
      <c r="G292" s="1" t="s">
        <v>4</v>
      </c>
      <c r="H292" s="1" t="s">
        <v>559</v>
      </c>
      <c r="I292" s="1" t="s">
        <v>33</v>
      </c>
      <c r="J292" s="2">
        <f t="shared" ref="J292:N292" si="156">J293</f>
        <v>520</v>
      </c>
      <c r="K292" s="2">
        <f t="shared" si="156"/>
        <v>520</v>
      </c>
      <c r="L292" s="2"/>
      <c r="M292" s="2">
        <f t="shared" si="143"/>
        <v>520</v>
      </c>
      <c r="N292" s="2">
        <f t="shared" si="156"/>
        <v>520</v>
      </c>
      <c r="O292" s="236"/>
      <c r="P292" s="2">
        <f t="shared" si="144"/>
        <v>520</v>
      </c>
    </row>
    <row r="293" spans="1:16" x14ac:dyDescent="0.25">
      <c r="A293" s="17"/>
      <c r="B293" s="355" t="s">
        <v>596</v>
      </c>
      <c r="C293" s="356"/>
      <c r="D293" s="356"/>
      <c r="E293" s="289">
        <v>854</v>
      </c>
      <c r="F293" s="1" t="s">
        <v>18</v>
      </c>
      <c r="G293" s="1" t="s">
        <v>4</v>
      </c>
      <c r="H293" s="1" t="s">
        <v>559</v>
      </c>
      <c r="I293" s="1" t="s">
        <v>36</v>
      </c>
      <c r="J293" s="2">
        <f>200+320</f>
        <v>520</v>
      </c>
      <c r="K293" s="2">
        <v>520</v>
      </c>
      <c r="L293" s="2"/>
      <c r="M293" s="2">
        <f t="shared" si="143"/>
        <v>520</v>
      </c>
      <c r="N293" s="2">
        <v>520</v>
      </c>
      <c r="O293" s="236"/>
      <c r="P293" s="2">
        <f t="shared" si="144"/>
        <v>520</v>
      </c>
    </row>
    <row r="294" spans="1:16" s="11" customFormat="1" ht="17.25" customHeight="1" x14ac:dyDescent="0.25">
      <c r="A294" s="592" t="s">
        <v>747</v>
      </c>
      <c r="B294" s="592"/>
      <c r="C294" s="46"/>
      <c r="D294" s="46"/>
      <c r="E294" s="368">
        <v>857</v>
      </c>
      <c r="F294" s="370"/>
      <c r="G294" s="7"/>
      <c r="H294" s="7"/>
      <c r="I294" s="7"/>
      <c r="J294" s="9">
        <f t="shared" ref="J294:P295" si="157">J295</f>
        <v>506700</v>
      </c>
      <c r="K294" s="9">
        <f t="shared" si="157"/>
        <v>500200</v>
      </c>
      <c r="L294" s="9">
        <f t="shared" si="157"/>
        <v>0</v>
      </c>
      <c r="M294" s="9">
        <f t="shared" si="157"/>
        <v>500200</v>
      </c>
      <c r="N294" s="9">
        <f t="shared" si="157"/>
        <v>500200</v>
      </c>
      <c r="O294" s="9">
        <f t="shared" si="157"/>
        <v>0</v>
      </c>
      <c r="P294" s="9">
        <f t="shared" si="157"/>
        <v>500200</v>
      </c>
    </row>
    <row r="295" spans="1:16" s="11" customFormat="1" x14ac:dyDescent="0.25">
      <c r="A295" s="588" t="s">
        <v>17</v>
      </c>
      <c r="B295" s="588"/>
      <c r="C295" s="364"/>
      <c r="D295" s="364"/>
      <c r="E295" s="368">
        <v>857</v>
      </c>
      <c r="F295" s="7" t="s">
        <v>18</v>
      </c>
      <c r="G295" s="7"/>
      <c r="H295" s="7"/>
      <c r="I295" s="7"/>
      <c r="J295" s="9">
        <f>J296</f>
        <v>506700</v>
      </c>
      <c r="K295" s="9">
        <f t="shared" si="157"/>
        <v>500200</v>
      </c>
      <c r="L295" s="9">
        <f t="shared" si="157"/>
        <v>0</v>
      </c>
      <c r="M295" s="9">
        <f t="shared" si="157"/>
        <v>500200</v>
      </c>
      <c r="N295" s="9">
        <f t="shared" si="157"/>
        <v>500200</v>
      </c>
      <c r="O295" s="9">
        <f t="shared" si="157"/>
        <v>0</v>
      </c>
      <c r="P295" s="9">
        <f t="shared" si="157"/>
        <v>500200</v>
      </c>
    </row>
    <row r="296" spans="1:16" s="15" customFormat="1" ht="27" customHeight="1" x14ac:dyDescent="0.25">
      <c r="A296" s="589" t="s">
        <v>157</v>
      </c>
      <c r="B296" s="589"/>
      <c r="C296" s="365"/>
      <c r="D296" s="365"/>
      <c r="E296" s="289">
        <v>857</v>
      </c>
      <c r="F296" s="12" t="s">
        <v>18</v>
      </c>
      <c r="G296" s="12" t="s">
        <v>1</v>
      </c>
      <c r="H296" s="12"/>
      <c r="I296" s="12"/>
      <c r="J296" s="14">
        <f>J297+J303</f>
        <v>506700</v>
      </c>
      <c r="K296" s="14">
        <f>K297+K303</f>
        <v>500200</v>
      </c>
      <c r="L296" s="14">
        <f t="shared" ref="L296:P296" si="158">L297+L303</f>
        <v>0</v>
      </c>
      <c r="M296" s="14">
        <f t="shared" si="158"/>
        <v>500200</v>
      </c>
      <c r="N296" s="14">
        <f t="shared" si="158"/>
        <v>500200</v>
      </c>
      <c r="O296" s="14">
        <f t="shared" si="158"/>
        <v>0</v>
      </c>
      <c r="P296" s="14">
        <f t="shared" si="158"/>
        <v>500200</v>
      </c>
    </row>
    <row r="297" spans="1:16" ht="13.5" customHeight="1" x14ac:dyDescent="0.25">
      <c r="A297" s="583" t="s">
        <v>178</v>
      </c>
      <c r="B297" s="583"/>
      <c r="C297" s="356"/>
      <c r="D297" s="356"/>
      <c r="E297" s="289">
        <v>857</v>
      </c>
      <c r="F297" s="1" t="s">
        <v>18</v>
      </c>
      <c r="G297" s="1" t="s">
        <v>1</v>
      </c>
      <c r="H297" s="1" t="s">
        <v>179</v>
      </c>
      <c r="I297" s="1"/>
      <c r="J297" s="2">
        <f>J298+J300</f>
        <v>488700</v>
      </c>
      <c r="K297" s="2">
        <f t="shared" ref="K297:N297" si="159">K298+K300</f>
        <v>500200</v>
      </c>
      <c r="L297" s="2"/>
      <c r="M297" s="2">
        <f t="shared" si="143"/>
        <v>500200</v>
      </c>
      <c r="N297" s="2">
        <f t="shared" si="159"/>
        <v>500200</v>
      </c>
      <c r="O297" s="236"/>
      <c r="P297" s="2">
        <f t="shared" si="144"/>
        <v>500200</v>
      </c>
    </row>
    <row r="298" spans="1:16" ht="38.25" customHeight="1" x14ac:dyDescent="0.25">
      <c r="A298" s="356"/>
      <c r="B298" s="355" t="s">
        <v>22</v>
      </c>
      <c r="C298" s="356"/>
      <c r="D298" s="356"/>
      <c r="E298" s="289">
        <v>857</v>
      </c>
      <c r="F298" s="1" t="s">
        <v>23</v>
      </c>
      <c r="G298" s="1" t="s">
        <v>1</v>
      </c>
      <c r="H298" s="1" t="s">
        <v>179</v>
      </c>
      <c r="I298" s="1" t="s">
        <v>24</v>
      </c>
      <c r="J298" s="2">
        <f t="shared" ref="J298:N298" si="160">J299</f>
        <v>459000</v>
      </c>
      <c r="K298" s="2">
        <f t="shared" si="160"/>
        <v>472000</v>
      </c>
      <c r="L298" s="2"/>
      <c r="M298" s="2">
        <f t="shared" si="143"/>
        <v>472000</v>
      </c>
      <c r="N298" s="2">
        <f t="shared" si="160"/>
        <v>472000</v>
      </c>
      <c r="O298" s="17"/>
      <c r="P298" s="2">
        <f t="shared" si="144"/>
        <v>472000</v>
      </c>
    </row>
    <row r="299" spans="1:16" ht="11.25" customHeight="1" x14ac:dyDescent="0.25">
      <c r="A299" s="17"/>
      <c r="B299" s="355" t="s">
        <v>25</v>
      </c>
      <c r="C299" s="355"/>
      <c r="D299" s="355"/>
      <c r="E299" s="289">
        <v>857</v>
      </c>
      <c r="F299" s="1" t="s">
        <v>18</v>
      </c>
      <c r="G299" s="1" t="s">
        <v>1</v>
      </c>
      <c r="H299" s="1" t="s">
        <v>179</v>
      </c>
      <c r="I299" s="1" t="s">
        <v>26</v>
      </c>
      <c r="J299" s="2">
        <f>472000-13000</f>
        <v>459000</v>
      </c>
      <c r="K299" s="2">
        <v>472000</v>
      </c>
      <c r="L299" s="2"/>
      <c r="M299" s="2">
        <f t="shared" si="143"/>
        <v>472000</v>
      </c>
      <c r="N299" s="2">
        <v>472000</v>
      </c>
      <c r="O299" s="236"/>
      <c r="P299" s="2">
        <f t="shared" si="144"/>
        <v>472000</v>
      </c>
    </row>
    <row r="300" spans="1:16" ht="12" customHeight="1" x14ac:dyDescent="0.25">
      <c r="A300" s="17"/>
      <c r="B300" s="356" t="s">
        <v>28</v>
      </c>
      <c r="C300" s="355"/>
      <c r="D300" s="1" t="s">
        <v>18</v>
      </c>
      <c r="E300" s="289">
        <v>857</v>
      </c>
      <c r="F300" s="1" t="s">
        <v>18</v>
      </c>
      <c r="G300" s="1" t="s">
        <v>1</v>
      </c>
      <c r="H300" s="1" t="s">
        <v>179</v>
      </c>
      <c r="I300" s="1" t="s">
        <v>29</v>
      </c>
      <c r="J300" s="2">
        <f t="shared" ref="J300:N300" si="161">J301</f>
        <v>29700</v>
      </c>
      <c r="K300" s="2">
        <f t="shared" si="161"/>
        <v>28200</v>
      </c>
      <c r="L300" s="2"/>
      <c r="M300" s="2">
        <f t="shared" si="143"/>
        <v>28200</v>
      </c>
      <c r="N300" s="2">
        <f t="shared" si="161"/>
        <v>28200</v>
      </c>
      <c r="O300" s="236"/>
      <c r="P300" s="2">
        <f t="shared" si="144"/>
        <v>28200</v>
      </c>
    </row>
    <row r="301" spans="1:16" ht="11.25" customHeight="1" x14ac:dyDescent="0.25">
      <c r="A301" s="17"/>
      <c r="B301" s="356" t="s">
        <v>30</v>
      </c>
      <c r="C301" s="356"/>
      <c r="D301" s="1" t="s">
        <v>18</v>
      </c>
      <c r="E301" s="289">
        <v>857</v>
      </c>
      <c r="F301" s="1" t="s">
        <v>18</v>
      </c>
      <c r="G301" s="1" t="s">
        <v>1</v>
      </c>
      <c r="H301" s="1" t="s">
        <v>179</v>
      </c>
      <c r="I301" s="1" t="s">
        <v>31</v>
      </c>
      <c r="J301" s="2">
        <v>29700</v>
      </c>
      <c r="K301" s="2">
        <v>28200</v>
      </c>
      <c r="L301" s="2"/>
      <c r="M301" s="2">
        <f t="shared" si="143"/>
        <v>28200</v>
      </c>
      <c r="N301" s="2">
        <v>28200</v>
      </c>
      <c r="O301" s="236"/>
      <c r="P301" s="2">
        <f t="shared" si="144"/>
        <v>28200</v>
      </c>
    </row>
    <row r="302" spans="1:16" ht="33" hidden="1" customHeight="1" x14ac:dyDescent="0.25">
      <c r="A302" s="583" t="s">
        <v>373</v>
      </c>
      <c r="B302" s="583"/>
      <c r="C302" s="356"/>
      <c r="D302" s="1" t="s">
        <v>18</v>
      </c>
      <c r="E302" s="289">
        <v>857</v>
      </c>
      <c r="F302" s="1" t="s">
        <v>23</v>
      </c>
      <c r="G302" s="1" t="s">
        <v>1</v>
      </c>
      <c r="H302" s="1" t="s">
        <v>616</v>
      </c>
      <c r="I302" s="1"/>
      <c r="J302" s="2">
        <f t="shared" ref="J302:N303" si="162">J303</f>
        <v>18000</v>
      </c>
      <c r="K302" s="2">
        <f t="shared" si="162"/>
        <v>0</v>
      </c>
      <c r="L302" s="2"/>
      <c r="M302" s="2"/>
      <c r="N302" s="2">
        <f t="shared" si="162"/>
        <v>0</v>
      </c>
      <c r="O302" s="236"/>
      <c r="P302" s="2"/>
    </row>
    <row r="303" spans="1:16" ht="12" hidden="1" customHeight="1" x14ac:dyDescent="0.25">
      <c r="A303" s="17"/>
      <c r="B303" s="356" t="s">
        <v>28</v>
      </c>
      <c r="C303" s="355"/>
      <c r="D303" s="1" t="s">
        <v>18</v>
      </c>
      <c r="E303" s="289">
        <v>857</v>
      </c>
      <c r="F303" s="1" t="s">
        <v>18</v>
      </c>
      <c r="G303" s="1" t="s">
        <v>1</v>
      </c>
      <c r="H303" s="1" t="s">
        <v>616</v>
      </c>
      <c r="I303" s="1" t="s">
        <v>29</v>
      </c>
      <c r="J303" s="2">
        <f t="shared" si="162"/>
        <v>18000</v>
      </c>
      <c r="K303" s="2">
        <f t="shared" si="162"/>
        <v>0</v>
      </c>
      <c r="L303" s="2"/>
      <c r="M303" s="2"/>
      <c r="N303" s="2">
        <f t="shared" si="162"/>
        <v>0</v>
      </c>
      <c r="O303" s="17"/>
      <c r="P303" s="2"/>
    </row>
    <row r="304" spans="1:16" ht="24.75" hidden="1" customHeight="1" x14ac:dyDescent="0.25">
      <c r="A304" s="17"/>
      <c r="B304" s="356" t="s">
        <v>30</v>
      </c>
      <c r="C304" s="356"/>
      <c r="D304" s="1" t="s">
        <v>18</v>
      </c>
      <c r="E304" s="289">
        <v>857</v>
      </c>
      <c r="F304" s="1" t="s">
        <v>18</v>
      </c>
      <c r="G304" s="1" t="s">
        <v>1</v>
      </c>
      <c r="H304" s="1" t="s">
        <v>616</v>
      </c>
      <c r="I304" s="1" t="s">
        <v>31</v>
      </c>
      <c r="J304" s="2">
        <v>18000</v>
      </c>
      <c r="K304" s="2"/>
      <c r="L304" s="2"/>
      <c r="M304" s="2"/>
      <c r="N304" s="2"/>
      <c r="O304" s="17"/>
      <c r="P304" s="2"/>
    </row>
    <row r="305" spans="1:16" s="143" customFormat="1" ht="18.75" customHeight="1" x14ac:dyDescent="0.25">
      <c r="A305" s="367"/>
      <c r="B305" s="369" t="s">
        <v>180</v>
      </c>
      <c r="C305" s="139"/>
      <c r="D305" s="139"/>
      <c r="E305" s="140"/>
      <c r="F305" s="141"/>
      <c r="G305" s="141"/>
      <c r="H305" s="141"/>
      <c r="I305" s="141"/>
      <c r="J305" s="142">
        <f>J6+J160+J242+J280+J294</f>
        <v>234246433</v>
      </c>
      <c r="K305" s="142">
        <f>K6+K160+K242+K280+K294</f>
        <v>230823280</v>
      </c>
      <c r="L305" s="142">
        <f>L6+L160+L242+L280+L294</f>
        <v>-5599900</v>
      </c>
      <c r="M305" s="142">
        <f>M6+M160+M242+M280+M294</f>
        <v>225223380</v>
      </c>
      <c r="N305" s="142">
        <f>N6+N160+N242+N280+N294</f>
        <v>229348073</v>
      </c>
      <c r="O305" s="142">
        <f t="shared" ref="O305:P305" si="163">O6+O160+O242+O280+O294</f>
        <v>-5153400</v>
      </c>
      <c r="P305" s="142">
        <f t="shared" si="163"/>
        <v>224194673</v>
      </c>
    </row>
    <row r="306" spans="1:16" s="143" customFormat="1" ht="18.75" hidden="1" customHeight="1" x14ac:dyDescent="0.25">
      <c r="A306" s="35"/>
      <c r="B306" s="326"/>
      <c r="C306" s="327"/>
      <c r="D306" s="327"/>
      <c r="E306" s="328"/>
      <c r="F306" s="329"/>
      <c r="G306" s="329"/>
      <c r="H306" s="329"/>
      <c r="I306" s="329"/>
      <c r="J306" s="330">
        <f>J305-J307</f>
        <v>0</v>
      </c>
      <c r="K306" s="330">
        <f t="shared" ref="K306:N306" si="164">K305-K307</f>
        <v>226020780</v>
      </c>
      <c r="L306" s="330"/>
      <c r="M306" s="330"/>
      <c r="N306" s="330">
        <f t="shared" si="164"/>
        <v>-9700860</v>
      </c>
      <c r="P306" s="330"/>
    </row>
    <row r="307" spans="1:16" hidden="1" x14ac:dyDescent="0.25">
      <c r="B307" s="6" t="s">
        <v>673</v>
      </c>
      <c r="F307" s="6"/>
      <c r="G307" s="6"/>
      <c r="H307" s="75"/>
      <c r="J307" s="98">
        <f>' Дох.15'!C119</f>
        <v>234246433</v>
      </c>
      <c r="K307" s="98">
        <f>' Дох.15'!F119</f>
        <v>4802500</v>
      </c>
      <c r="L307" s="98"/>
      <c r="M307" s="98"/>
      <c r="N307" s="98">
        <f>' Дох.15'!G119</f>
        <v>239048933</v>
      </c>
      <c r="P307" s="98"/>
    </row>
    <row r="308" spans="1:16" hidden="1" x14ac:dyDescent="0.25">
      <c r="E308" s="86"/>
      <c r="F308" s="87"/>
      <c r="G308" s="87"/>
      <c r="H308" s="86"/>
      <c r="I308" s="87"/>
      <c r="J308" s="98"/>
      <c r="K308" s="98"/>
      <c r="L308" s="98"/>
      <c r="M308" s="98"/>
      <c r="N308" s="98"/>
      <c r="P308" s="98"/>
    </row>
    <row r="309" spans="1:16" hidden="1" x14ac:dyDescent="0.25">
      <c r="E309" s="86"/>
      <c r="F309" s="288" t="s">
        <v>18</v>
      </c>
      <c r="G309" s="288"/>
      <c r="H309" s="1"/>
      <c r="I309" s="1"/>
      <c r="J309" s="319">
        <f>J7+J243+J281</f>
        <v>28926500</v>
      </c>
      <c r="K309" s="319">
        <f>K7+K243+K281</f>
        <v>28651698</v>
      </c>
      <c r="L309" s="319"/>
      <c r="M309" s="319"/>
      <c r="N309" s="319">
        <f>N7+N243+N281</f>
        <v>29056918</v>
      </c>
      <c r="P309" s="319"/>
    </row>
    <row r="310" spans="1:16" hidden="1" x14ac:dyDescent="0.25">
      <c r="E310" s="86"/>
      <c r="F310" s="288" t="s">
        <v>74</v>
      </c>
      <c r="G310" s="288"/>
      <c r="H310" s="1"/>
      <c r="I310" s="1"/>
      <c r="J310" s="2">
        <f>J55+J257</f>
        <v>1229519</v>
      </c>
      <c r="K310" s="2">
        <f>K55+K257</f>
        <v>1244541</v>
      </c>
      <c r="L310" s="2"/>
      <c r="M310" s="2"/>
      <c r="N310" s="2">
        <f>N55+N257</f>
        <v>1189514</v>
      </c>
      <c r="P310" s="2"/>
    </row>
    <row r="311" spans="1:16" hidden="1" x14ac:dyDescent="0.25">
      <c r="E311" s="86"/>
      <c r="F311" s="288" t="s">
        <v>4</v>
      </c>
      <c r="G311" s="288"/>
      <c r="H311" s="1"/>
      <c r="I311" s="1"/>
      <c r="J311" s="2">
        <f>J62</f>
        <v>1332400</v>
      </c>
      <c r="K311" s="2">
        <f>K62</f>
        <v>1332400</v>
      </c>
      <c r="L311" s="2"/>
      <c r="M311" s="2"/>
      <c r="N311" s="2">
        <f>N62</f>
        <v>1332400</v>
      </c>
      <c r="P311" s="2"/>
    </row>
    <row r="312" spans="1:16" hidden="1" x14ac:dyDescent="0.25">
      <c r="E312" s="86"/>
      <c r="F312" s="288" t="s">
        <v>7</v>
      </c>
      <c r="G312" s="288"/>
      <c r="H312" s="1"/>
      <c r="I312" s="1"/>
      <c r="J312" s="2">
        <f>J69</f>
        <v>2897640</v>
      </c>
      <c r="K312" s="2">
        <f>K69</f>
        <v>3524640</v>
      </c>
      <c r="L312" s="2"/>
      <c r="M312" s="2"/>
      <c r="N312" s="2">
        <f>N69</f>
        <v>2885640</v>
      </c>
      <c r="P312" s="2"/>
    </row>
    <row r="313" spans="1:16" hidden="1" x14ac:dyDescent="0.25">
      <c r="E313" s="86"/>
      <c r="F313" s="288" t="s">
        <v>64</v>
      </c>
      <c r="G313" s="288"/>
      <c r="H313" s="1"/>
      <c r="I313" s="1"/>
      <c r="J313" s="2">
        <f>J90</f>
        <v>741440</v>
      </c>
      <c r="K313" s="2">
        <f>K90</f>
        <v>741500</v>
      </c>
      <c r="L313" s="2"/>
      <c r="M313" s="2"/>
      <c r="N313" s="2">
        <f>N90</f>
        <v>741495</v>
      </c>
      <c r="P313" s="2"/>
    </row>
    <row r="314" spans="1:16" hidden="1" x14ac:dyDescent="0.25">
      <c r="E314" s="86"/>
      <c r="F314" s="288" t="s">
        <v>37</v>
      </c>
      <c r="G314" s="288"/>
      <c r="H314" s="1"/>
      <c r="I314" s="1"/>
      <c r="J314" s="2">
        <f>J99+J161</f>
        <v>147928123</v>
      </c>
      <c r="K314" s="2">
        <f>K99+K161</f>
        <v>148452723</v>
      </c>
      <c r="L314" s="2"/>
      <c r="M314" s="2"/>
      <c r="N314" s="2">
        <f>N99+N161</f>
        <v>147566723</v>
      </c>
      <c r="P314" s="2"/>
    </row>
    <row r="315" spans="1:16" hidden="1" x14ac:dyDescent="0.25">
      <c r="E315" s="86"/>
      <c r="F315" s="288" t="s">
        <v>86</v>
      </c>
      <c r="G315" s="288"/>
      <c r="H315" s="1"/>
      <c r="I315" s="1"/>
      <c r="J315" s="2">
        <f>J106+J262</f>
        <v>14967040</v>
      </c>
      <c r="K315" s="2">
        <f>K106+K262</f>
        <v>3158540</v>
      </c>
      <c r="L315" s="2"/>
      <c r="M315" s="2"/>
      <c r="N315" s="2">
        <f>N106+N262</f>
        <v>3158540</v>
      </c>
      <c r="P315" s="2"/>
    </row>
    <row r="316" spans="1:16" hidden="1" x14ac:dyDescent="0.25">
      <c r="E316" s="86"/>
      <c r="F316" s="288" t="s">
        <v>0</v>
      </c>
      <c r="G316" s="288"/>
      <c r="H316" s="1"/>
      <c r="I316" s="1"/>
      <c r="J316" s="2">
        <f>J133+J214</f>
        <v>20684071</v>
      </c>
      <c r="K316" s="2">
        <f>K133+K214</f>
        <v>20638696</v>
      </c>
      <c r="L316" s="2"/>
      <c r="M316" s="2"/>
      <c r="N316" s="2">
        <f>N133+N214</f>
        <v>20632496</v>
      </c>
      <c r="P316" s="2"/>
    </row>
    <row r="317" spans="1:16" hidden="1" x14ac:dyDescent="0.25">
      <c r="E317" s="86"/>
      <c r="F317" s="288" t="s">
        <v>39</v>
      </c>
      <c r="G317" s="288"/>
      <c r="H317" s="1"/>
      <c r="I317" s="1"/>
      <c r="J317" s="2">
        <f>J152</f>
        <v>544000</v>
      </c>
      <c r="K317" s="2">
        <f>K152</f>
        <v>260000</v>
      </c>
      <c r="L317" s="2"/>
      <c r="M317" s="2"/>
      <c r="N317" s="2">
        <f>N152</f>
        <v>260000</v>
      </c>
      <c r="P317" s="2"/>
    </row>
    <row r="318" spans="1:16" hidden="1" x14ac:dyDescent="0.25">
      <c r="E318" s="86"/>
      <c r="F318" s="288" t="s">
        <v>45</v>
      </c>
      <c r="G318" s="288"/>
      <c r="H318" s="1"/>
      <c r="I318" s="1"/>
      <c r="J318" s="2"/>
      <c r="K318" s="2"/>
      <c r="L318" s="2"/>
      <c r="M318" s="2"/>
      <c r="N318" s="2"/>
      <c r="P318" s="2"/>
    </row>
    <row r="319" spans="1:16" hidden="1" x14ac:dyDescent="0.25">
      <c r="E319" s="86"/>
      <c r="F319" s="288" t="s">
        <v>167</v>
      </c>
      <c r="G319" s="288"/>
      <c r="H319" s="1"/>
      <c r="I319" s="288"/>
      <c r="J319" s="2">
        <f>J267</f>
        <v>14489000</v>
      </c>
      <c r="K319" s="2">
        <f>K267</f>
        <v>18671000</v>
      </c>
      <c r="L319" s="2"/>
      <c r="M319" s="2"/>
      <c r="N319" s="2">
        <f>N267</f>
        <v>14721000</v>
      </c>
      <c r="P319" s="2"/>
    </row>
    <row r="320" spans="1:16" hidden="1" x14ac:dyDescent="0.25">
      <c r="E320" s="86"/>
      <c r="F320" s="288"/>
      <c r="G320" s="288" t="s">
        <v>182</v>
      </c>
      <c r="H320" s="1"/>
      <c r="I320" s="288"/>
      <c r="J320" s="2">
        <f>J279</f>
        <v>0</v>
      </c>
      <c r="K320" s="2">
        <f>K279</f>
        <v>3647342</v>
      </c>
      <c r="L320" s="2"/>
      <c r="M320" s="2"/>
      <c r="N320" s="2">
        <f>N279</f>
        <v>7303147</v>
      </c>
      <c r="P320" s="2"/>
    </row>
    <row r="321" spans="2:16" hidden="1" x14ac:dyDescent="0.25">
      <c r="E321" s="86"/>
      <c r="F321" s="288"/>
      <c r="G321" s="288"/>
      <c r="H321" s="1"/>
      <c r="I321" s="288"/>
      <c r="J321" s="2">
        <f t="shared" ref="J321:N321" si="165">SUM(J309:J320)</f>
        <v>233739733</v>
      </c>
      <c r="K321" s="2">
        <f t="shared" si="165"/>
        <v>230323080</v>
      </c>
      <c r="L321" s="2"/>
      <c r="M321" s="2"/>
      <c r="N321" s="2">
        <f t="shared" si="165"/>
        <v>228847873</v>
      </c>
      <c r="P321" s="2"/>
    </row>
    <row r="322" spans="2:16" hidden="1" x14ac:dyDescent="0.25">
      <c r="E322" s="86"/>
      <c r="F322" s="87"/>
      <c r="G322" s="87"/>
      <c r="H322" s="86"/>
      <c r="I322" s="87"/>
      <c r="J322" s="10">
        <f>J305-J321</f>
        <v>506700</v>
      </c>
      <c r="K322" s="10">
        <f>K305-K321</f>
        <v>500200</v>
      </c>
      <c r="L322" s="10"/>
      <c r="M322" s="10"/>
      <c r="N322" s="10">
        <f>N305-N321</f>
        <v>500200</v>
      </c>
      <c r="P322" s="10"/>
    </row>
    <row r="323" spans="2:16" hidden="1" x14ac:dyDescent="0.25">
      <c r="E323" s="86"/>
      <c r="F323" s="87" t="s">
        <v>705</v>
      </c>
      <c r="G323" s="87"/>
      <c r="H323" s="86"/>
      <c r="I323" s="87"/>
      <c r="J323" s="10">
        <f>J276</f>
        <v>0</v>
      </c>
      <c r="K323" s="10">
        <f>K276</f>
        <v>3647342</v>
      </c>
      <c r="L323" s="10"/>
      <c r="M323" s="10"/>
      <c r="N323" s="10">
        <f>N276</f>
        <v>7303147</v>
      </c>
      <c r="P323" s="10"/>
    </row>
    <row r="324" spans="2:16" hidden="1" x14ac:dyDescent="0.25">
      <c r="E324" s="86"/>
      <c r="F324" s="87"/>
      <c r="G324" s="87"/>
      <c r="H324" s="86"/>
      <c r="I324" s="87"/>
      <c r="J324" s="6"/>
      <c r="K324" s="269" t="e">
        <f>K323/K336*100</f>
        <v>#DIV/0!</v>
      </c>
      <c r="L324" s="269"/>
      <c r="M324" s="269"/>
      <c r="N324" s="269">
        <f>N323/N336*100</f>
        <v>7.641065479777688</v>
      </c>
      <c r="P324" s="269"/>
    </row>
    <row r="325" spans="2:16" hidden="1" x14ac:dyDescent="0.25">
      <c r="E325" s="86"/>
      <c r="F325" s="86"/>
      <c r="G325" s="86"/>
      <c r="H325" s="86"/>
      <c r="I325" s="87"/>
      <c r="J325" s="6"/>
    </row>
    <row r="326" spans="2:16" hidden="1" x14ac:dyDescent="0.25">
      <c r="E326" s="6"/>
      <c r="F326" s="6"/>
      <c r="G326" s="6"/>
      <c r="H326" s="75"/>
      <c r="J326" s="6"/>
    </row>
    <row r="327" spans="2:16" hidden="1" x14ac:dyDescent="0.25">
      <c r="E327" s="6"/>
      <c r="F327" s="6"/>
      <c r="G327" s="6"/>
      <c r="H327" s="75"/>
      <c r="K327" s="10"/>
      <c r="L327" s="10"/>
      <c r="M327" s="10"/>
      <c r="N327" s="10"/>
      <c r="P327" s="10"/>
    </row>
    <row r="328" spans="2:16" s="15" customFormat="1" hidden="1" x14ac:dyDescent="0.25">
      <c r="B328" s="15" t="s">
        <v>706</v>
      </c>
      <c r="H328" s="284"/>
      <c r="J328" s="16" t="e">
        <f>J329+J330+J331</f>
        <v>#REF!</v>
      </c>
      <c r="K328" s="16" t="e">
        <f t="shared" ref="K328:N328" si="166">K329+K330+K331</f>
        <v>#REF!</v>
      </c>
      <c r="L328" s="16"/>
      <c r="M328" s="16"/>
      <c r="N328" s="16" t="e">
        <f t="shared" si="166"/>
        <v>#REF!</v>
      </c>
      <c r="P328" s="16"/>
    </row>
    <row r="329" spans="2:16" hidden="1" x14ac:dyDescent="0.25">
      <c r="B329" s="352" t="s">
        <v>651</v>
      </c>
      <c r="E329" s="6"/>
      <c r="F329" s="6"/>
      <c r="G329" s="6"/>
      <c r="H329" s="75"/>
      <c r="J329" s="353">
        <f>J27+J33+J73+J82+J122+J143+J166+J169+J182+J185+J211+J216+J220+J223+J228+J232+J237+J254+J259+J264+J271+J275</f>
        <v>126127131</v>
      </c>
      <c r="K329" s="353">
        <f>K27+K33+K73+K82+K122+K143+K166+K169+K182+K185+K211+K216+K220+K223+K228+K232+K237+K254+K259+K264+K271+K275</f>
        <v>130273538</v>
      </c>
      <c r="L329" s="353"/>
      <c r="M329" s="353"/>
      <c r="N329" s="353">
        <f>N27+N33+N73+N82+N122+N143+N166+N169+N182+N185+N211+N216+N220+N223+N228+N232+N237+N254+N259+N264+N271+N275</f>
        <v>126286726</v>
      </c>
      <c r="P329" s="353"/>
    </row>
    <row r="330" spans="2:16" hidden="1" x14ac:dyDescent="0.25">
      <c r="B330" s="6" t="s">
        <v>653</v>
      </c>
      <c r="E330" s="6"/>
      <c r="F330" s="6"/>
      <c r="G330" s="6"/>
      <c r="H330" s="75"/>
      <c r="J330" s="10" t="e">
        <f>J11+J14+J16+J18+J19+J20+J31+J40+J43+J46+J48+J51+J54+J66+J68+J76+J80+J87+J92+J96+J101+J108+J111+J123+J126+J130+J135+J139+J147+J154+J163+J172+J176+J179+J188+J191+J195+J199+J202+J245+J279+J283+J287+#REF!</f>
        <v>#REF!</v>
      </c>
      <c r="K330" s="10" t="e">
        <f>K11+K14+K16+K18+K19+K20+K31+K40+K43+K46+K48+K51+K54+K66+K68+K76+K80+K87+K92+K96+K101+K108+K111+K123+K126+K130+K135+K139+K147+K154+K163+K172+K176+K179+K188+K191+K195+K199+K202+K245+K279+K283+K287+#REF!</f>
        <v>#REF!</v>
      </c>
      <c r="L330" s="10"/>
      <c r="M330" s="10"/>
      <c r="N330" s="10" t="e">
        <f>N11+N14+N16+N18+N19+N20+N31+N40+N43+N46+N48+N51+N54+N66+N68+N76+N80+N87+N92+N96+N101+N108+N111+N123+N126+N130+N135+N139+N147+N154+N163+N172+N176+N179+N188+N191+N195+N199+N202+N245+N279+N283+N287+#REF!</f>
        <v>#REF!</v>
      </c>
      <c r="P330" s="10"/>
    </row>
    <row r="331" spans="2:16" hidden="1" x14ac:dyDescent="0.25">
      <c r="B331" s="351" t="s">
        <v>652</v>
      </c>
      <c r="E331" s="6"/>
      <c r="F331" s="6"/>
      <c r="G331" s="6"/>
      <c r="H331" s="75"/>
      <c r="J331" s="354" t="e">
        <f>J23+J57+J114+J117+J157+#REF!</f>
        <v>#REF!</v>
      </c>
      <c r="K331" s="354" t="e">
        <f>K23+K57+K114+K117+K157+#REF!</f>
        <v>#REF!</v>
      </c>
      <c r="L331" s="354"/>
      <c r="M331" s="354"/>
      <c r="N331" s="354" t="e">
        <f>N23+N57+N114+N117+N157+#REF!</f>
        <v>#REF!</v>
      </c>
      <c r="P331" s="354"/>
    </row>
    <row r="332" spans="2:16" hidden="1" x14ac:dyDescent="0.25">
      <c r="E332" s="6"/>
      <c r="F332" s="6"/>
      <c r="G332" s="6"/>
      <c r="H332" s="75"/>
      <c r="J332" s="10" t="e">
        <f>J305-J329-J330-J331</f>
        <v>#REF!</v>
      </c>
      <c r="K332" s="10" t="e">
        <f>K305-K329-K330-K331</f>
        <v>#REF!</v>
      </c>
      <c r="L332" s="10"/>
      <c r="M332" s="10"/>
      <c r="N332" s="10" t="e">
        <f>N305-N329-N330-N331</f>
        <v>#REF!</v>
      </c>
      <c r="P332" s="10"/>
    </row>
    <row r="333" spans="2:16" ht="7.5" hidden="1" customHeight="1" x14ac:dyDescent="0.25">
      <c r="E333" s="6"/>
      <c r="F333" s="6"/>
      <c r="G333" s="6"/>
      <c r="H333" s="75"/>
      <c r="K333" s="10"/>
      <c r="L333" s="10"/>
      <c r="M333" s="10"/>
      <c r="N333" s="10"/>
      <c r="P333" s="10"/>
    </row>
    <row r="334" spans="2:16" hidden="1" x14ac:dyDescent="0.25">
      <c r="E334" s="6"/>
      <c r="F334" s="6"/>
      <c r="G334" s="6"/>
      <c r="H334" s="75"/>
      <c r="K334" s="10"/>
      <c r="L334" s="10"/>
      <c r="M334" s="10"/>
      <c r="N334" s="10"/>
      <c r="P334" s="10"/>
    </row>
    <row r="335" spans="2:16" hidden="1" x14ac:dyDescent="0.25">
      <c r="E335" s="6"/>
      <c r="F335" s="6"/>
      <c r="G335" s="6"/>
      <c r="H335" s="75"/>
      <c r="K335" s="10"/>
      <c r="L335" s="10"/>
      <c r="M335" s="10"/>
      <c r="N335" s="10"/>
      <c r="P335" s="10"/>
    </row>
    <row r="336" spans="2:16" hidden="1" x14ac:dyDescent="0.25">
      <c r="B336" s="6" t="s">
        <v>672</v>
      </c>
      <c r="E336" s="6"/>
      <c r="F336" s="6"/>
      <c r="G336" s="6"/>
      <c r="H336" s="75"/>
      <c r="J336" s="10">
        <f>' Дох.15'!C7+' Дох.15'!C70</f>
        <v>95577600</v>
      </c>
      <c r="K336" s="10">
        <f>' Дох.15'!F7+' Дох.15'!F70</f>
        <v>0</v>
      </c>
      <c r="L336" s="10"/>
      <c r="M336" s="10"/>
      <c r="N336" s="10">
        <f>' Дох.15'!G7+' Дох.15'!G70</f>
        <v>95577600</v>
      </c>
      <c r="P336" s="10"/>
    </row>
    <row r="337" spans="2:16" hidden="1" x14ac:dyDescent="0.25">
      <c r="B337" s="6" t="s">
        <v>671</v>
      </c>
      <c r="E337" s="6"/>
      <c r="F337" s="6"/>
      <c r="G337" s="6"/>
      <c r="H337" s="75"/>
      <c r="J337" s="10">
        <f>' Дох.15'!C119</f>
        <v>234246433</v>
      </c>
      <c r="K337" s="10">
        <f>' Дох.15'!F119</f>
        <v>4802500</v>
      </c>
      <c r="L337" s="10"/>
      <c r="M337" s="10"/>
      <c r="N337" s="10">
        <f>' Дох.15'!G119</f>
        <v>239048933</v>
      </c>
      <c r="P337" s="10"/>
    </row>
    <row r="338" spans="2:16" hidden="1" x14ac:dyDescent="0.25">
      <c r="E338" s="6"/>
      <c r="F338" s="6"/>
      <c r="G338" s="6"/>
      <c r="H338" s="75"/>
      <c r="K338" s="10"/>
      <c r="L338" s="10"/>
      <c r="M338" s="10"/>
      <c r="N338" s="10"/>
      <c r="P338" s="10"/>
    </row>
    <row r="339" spans="2:16" hidden="1" x14ac:dyDescent="0.25">
      <c r="B339" s="6" t="s">
        <v>741</v>
      </c>
      <c r="E339" s="6"/>
      <c r="F339" s="6"/>
      <c r="G339" s="6"/>
      <c r="H339" s="75"/>
      <c r="J339" s="10">
        <f>' Дох.15'!C87</f>
        <v>126127131</v>
      </c>
      <c r="K339" s="10">
        <f>' Дох.15'!F87</f>
        <v>0</v>
      </c>
      <c r="L339" s="10"/>
      <c r="M339" s="10"/>
      <c r="N339" s="10">
        <f>' Дох.15'!G87</f>
        <v>126127131</v>
      </c>
      <c r="P339" s="10"/>
    </row>
    <row r="340" spans="2:16" hidden="1" x14ac:dyDescent="0.25">
      <c r="E340" s="6"/>
      <c r="F340" s="6"/>
      <c r="G340" s="6"/>
      <c r="H340" s="75"/>
      <c r="J340" s="10">
        <f>J329-J339</f>
        <v>0</v>
      </c>
      <c r="K340" s="10">
        <f t="shared" ref="K340:N340" si="167">K329-K339</f>
        <v>130273538</v>
      </c>
      <c r="L340" s="10"/>
      <c r="M340" s="10"/>
      <c r="N340" s="10">
        <f t="shared" si="167"/>
        <v>159595</v>
      </c>
      <c r="P340" s="10"/>
    </row>
    <row r="341" spans="2:16" hidden="1" x14ac:dyDescent="0.25">
      <c r="B341" s="6" t="s">
        <v>742</v>
      </c>
      <c r="E341" s="6"/>
      <c r="F341" s="6"/>
      <c r="G341" s="6"/>
      <c r="H341" s="75"/>
      <c r="J341" s="10">
        <f>' Дох.15'!C115+' Дох.15'!C117</f>
        <v>12541702</v>
      </c>
      <c r="K341" s="10">
        <f>' Дох.15'!F115+' Дох.15'!F118</f>
        <v>0</v>
      </c>
      <c r="L341" s="10"/>
      <c r="M341" s="10"/>
      <c r="N341" s="10">
        <f>' Дох.15'!G115+' Дох.15'!G118</f>
        <v>12541702</v>
      </c>
      <c r="P341" s="10"/>
    </row>
    <row r="342" spans="2:16" hidden="1" x14ac:dyDescent="0.25">
      <c r="E342" s="6"/>
      <c r="F342" s="6"/>
      <c r="G342" s="6"/>
      <c r="H342" s="75"/>
      <c r="J342" s="10" t="e">
        <f>J331-J341</f>
        <v>#REF!</v>
      </c>
      <c r="K342" s="10" t="e">
        <f t="shared" ref="K342:N342" si="168">K331-K341</f>
        <v>#REF!</v>
      </c>
      <c r="L342" s="10"/>
      <c r="M342" s="10"/>
      <c r="N342" s="10" t="e">
        <f t="shared" si="168"/>
        <v>#REF!</v>
      </c>
      <c r="P342" s="10"/>
    </row>
    <row r="343" spans="2:16" hidden="1" x14ac:dyDescent="0.25">
      <c r="E343" s="6"/>
      <c r="F343" s="6"/>
      <c r="G343" s="6"/>
      <c r="H343" s="75"/>
      <c r="K343" s="10"/>
      <c r="L343" s="10"/>
      <c r="M343" s="10"/>
      <c r="N343" s="10"/>
      <c r="P343" s="10"/>
    </row>
    <row r="344" spans="2:16" hidden="1" x14ac:dyDescent="0.25">
      <c r="E344" s="6"/>
      <c r="F344" s="6"/>
      <c r="G344" s="6"/>
      <c r="H344" s="75"/>
      <c r="K344" s="10"/>
      <c r="L344" s="10"/>
      <c r="M344" s="10"/>
      <c r="N344" s="10"/>
      <c r="P344" s="10"/>
    </row>
    <row r="345" spans="2:16" hidden="1" x14ac:dyDescent="0.25">
      <c r="E345" s="6"/>
      <c r="F345" s="6"/>
      <c r="G345" s="6"/>
      <c r="H345" s="75"/>
      <c r="K345" s="10"/>
      <c r="L345" s="10"/>
      <c r="M345" s="10"/>
      <c r="N345" s="10"/>
      <c r="P345" s="10"/>
    </row>
    <row r="346" spans="2:16" hidden="1" x14ac:dyDescent="0.25">
      <c r="E346" s="6"/>
      <c r="F346" s="6"/>
      <c r="G346" s="6"/>
      <c r="H346" s="75"/>
      <c r="K346" s="10"/>
      <c r="L346" s="10"/>
      <c r="M346" s="10"/>
      <c r="N346" s="10"/>
      <c r="P346" s="10"/>
    </row>
    <row r="347" spans="2:16" hidden="1" x14ac:dyDescent="0.25">
      <c r="E347" s="6"/>
      <c r="F347" s="6"/>
      <c r="G347" s="6"/>
      <c r="H347" s="75"/>
      <c r="K347" s="10"/>
      <c r="L347" s="10"/>
      <c r="M347" s="10"/>
      <c r="N347" s="10"/>
      <c r="P347" s="10"/>
    </row>
    <row r="348" spans="2:16" hidden="1" x14ac:dyDescent="0.25">
      <c r="E348" s="6"/>
      <c r="F348" s="6"/>
      <c r="G348" s="6"/>
      <c r="H348" s="75"/>
      <c r="K348" s="10"/>
      <c r="L348" s="10"/>
      <c r="M348" s="10"/>
      <c r="N348" s="10"/>
      <c r="P348" s="10"/>
    </row>
    <row r="349" spans="2:16" hidden="1" x14ac:dyDescent="0.25">
      <c r="E349" s="6"/>
      <c r="F349" s="6"/>
      <c r="G349" s="6"/>
      <c r="H349" s="75"/>
      <c r="K349" s="10"/>
      <c r="L349" s="10"/>
      <c r="M349" s="10"/>
      <c r="N349" s="10"/>
      <c r="P349" s="10"/>
    </row>
    <row r="350" spans="2:16" hidden="1" x14ac:dyDescent="0.25">
      <c r="E350" s="87"/>
      <c r="F350" s="242" t="s">
        <v>18</v>
      </c>
      <c r="G350" s="86"/>
      <c r="H350" s="86"/>
      <c r="I350" s="87"/>
      <c r="J350" s="10">
        <f>J7+J243+J281</f>
        <v>28926500</v>
      </c>
      <c r="K350" s="10">
        <f>K7+K243+K281</f>
        <v>28651698</v>
      </c>
      <c r="L350" s="10"/>
      <c r="M350" s="10"/>
      <c r="N350" s="10">
        <f>N7+N243+N281</f>
        <v>29056918</v>
      </c>
      <c r="P350" s="10"/>
    </row>
    <row r="351" spans="2:16" hidden="1" x14ac:dyDescent="0.25">
      <c r="E351" s="87"/>
      <c r="F351" s="242" t="s">
        <v>74</v>
      </c>
      <c r="G351" s="87"/>
      <c r="H351" s="86"/>
      <c r="I351" s="87"/>
      <c r="J351" s="10">
        <f>J55+J257</f>
        <v>1229519</v>
      </c>
      <c r="K351" s="10">
        <f>K55+K257</f>
        <v>1244541</v>
      </c>
      <c r="L351" s="10"/>
      <c r="M351" s="10"/>
      <c r="N351" s="10">
        <f>N55+N257</f>
        <v>1189514</v>
      </c>
      <c r="P351" s="10"/>
    </row>
    <row r="352" spans="2:16" hidden="1" x14ac:dyDescent="0.25">
      <c r="E352" s="87"/>
      <c r="F352" s="242" t="s">
        <v>4</v>
      </c>
      <c r="G352" s="86"/>
      <c r="H352" s="86"/>
      <c r="I352" s="87"/>
      <c r="J352" s="10">
        <f>J62</f>
        <v>1332400</v>
      </c>
      <c r="K352" s="10">
        <f>K62</f>
        <v>1332400</v>
      </c>
      <c r="L352" s="10"/>
      <c r="M352" s="10"/>
      <c r="N352" s="10">
        <f>N62</f>
        <v>1332400</v>
      </c>
      <c r="P352" s="10"/>
    </row>
    <row r="353" spans="2:16" hidden="1" x14ac:dyDescent="0.25">
      <c r="E353" s="87"/>
      <c r="F353" s="242" t="s">
        <v>7</v>
      </c>
      <c r="G353" s="86"/>
      <c r="H353" s="86"/>
      <c r="I353" s="87"/>
      <c r="J353" s="10">
        <f>J69</f>
        <v>2897640</v>
      </c>
      <c r="K353" s="10">
        <f>K69</f>
        <v>3524640</v>
      </c>
      <c r="L353" s="10"/>
      <c r="M353" s="10"/>
      <c r="N353" s="10">
        <f>N69</f>
        <v>2885640</v>
      </c>
      <c r="P353" s="10"/>
    </row>
    <row r="354" spans="2:16" hidden="1" x14ac:dyDescent="0.25">
      <c r="E354" s="87"/>
      <c r="F354" s="242" t="s">
        <v>64</v>
      </c>
      <c r="G354" s="86"/>
      <c r="H354" s="86"/>
      <c r="I354" s="87"/>
      <c r="J354" s="10">
        <f>J90</f>
        <v>741440</v>
      </c>
      <c r="K354" s="10">
        <f>K90</f>
        <v>741500</v>
      </c>
      <c r="L354" s="10"/>
      <c r="M354" s="10"/>
      <c r="N354" s="10">
        <f>N90</f>
        <v>741495</v>
      </c>
      <c r="P354" s="10"/>
    </row>
    <row r="355" spans="2:16" hidden="1" x14ac:dyDescent="0.25">
      <c r="E355" s="87"/>
      <c r="F355" s="242" t="s">
        <v>37</v>
      </c>
      <c r="G355" s="86"/>
      <c r="H355" s="86"/>
      <c r="I355" s="87"/>
      <c r="J355" s="10">
        <f>J99+J161</f>
        <v>147928123</v>
      </c>
      <c r="K355" s="10">
        <f>K99+K161</f>
        <v>148452723</v>
      </c>
      <c r="L355" s="10"/>
      <c r="M355" s="10"/>
      <c r="N355" s="10">
        <f>N99+N161</f>
        <v>147566723</v>
      </c>
      <c r="P355" s="10"/>
    </row>
    <row r="356" spans="2:16" hidden="1" x14ac:dyDescent="0.25">
      <c r="E356" s="87"/>
      <c r="F356" s="242" t="s">
        <v>86</v>
      </c>
      <c r="G356" s="86"/>
      <c r="H356" s="86"/>
      <c r="I356" s="87"/>
      <c r="J356" s="10">
        <f>J106+J262</f>
        <v>14967040</v>
      </c>
      <c r="K356" s="10">
        <f>K106+K262</f>
        <v>3158540</v>
      </c>
      <c r="L356" s="10"/>
      <c r="M356" s="10"/>
      <c r="N356" s="10">
        <f>N106+N262</f>
        <v>3158540</v>
      </c>
      <c r="P356" s="10"/>
    </row>
    <row r="357" spans="2:16" hidden="1" x14ac:dyDescent="0.25">
      <c r="E357" s="87"/>
      <c r="F357" s="242" t="s">
        <v>0</v>
      </c>
      <c r="G357" s="86"/>
      <c r="H357" s="86"/>
      <c r="I357" s="87"/>
      <c r="J357" s="10">
        <f>J133+J214</f>
        <v>20684071</v>
      </c>
      <c r="K357" s="10">
        <f>K133+K214</f>
        <v>20638696</v>
      </c>
      <c r="L357" s="10"/>
      <c r="M357" s="10"/>
      <c r="N357" s="10">
        <f>N133+N214</f>
        <v>20632496</v>
      </c>
      <c r="P357" s="10"/>
    </row>
    <row r="358" spans="2:16" hidden="1" x14ac:dyDescent="0.25">
      <c r="E358" s="87"/>
      <c r="F358" s="242" t="s">
        <v>39</v>
      </c>
      <c r="G358" s="87"/>
      <c r="H358" s="86"/>
      <c r="I358" s="87"/>
      <c r="J358" s="10">
        <f>J152</f>
        <v>544000</v>
      </c>
      <c r="K358" s="10">
        <f>K152</f>
        <v>260000</v>
      </c>
      <c r="L358" s="10"/>
      <c r="M358" s="10"/>
      <c r="N358" s="10">
        <f>N152</f>
        <v>260000</v>
      </c>
      <c r="P358" s="10"/>
    </row>
    <row r="359" spans="2:16" hidden="1" x14ac:dyDescent="0.25">
      <c r="E359" s="87"/>
      <c r="F359" s="242" t="s">
        <v>167</v>
      </c>
      <c r="G359" s="86"/>
      <c r="H359" s="86"/>
      <c r="I359" s="87"/>
      <c r="J359" s="10">
        <f>J267</f>
        <v>14489000</v>
      </c>
      <c r="K359" s="10">
        <f>K267</f>
        <v>18671000</v>
      </c>
      <c r="L359" s="10"/>
      <c r="M359" s="10"/>
      <c r="N359" s="10">
        <f>N267</f>
        <v>14721000</v>
      </c>
      <c r="P359" s="10"/>
    </row>
    <row r="360" spans="2:16" hidden="1" x14ac:dyDescent="0.25">
      <c r="E360" s="87"/>
      <c r="F360" s="242"/>
      <c r="G360" s="86"/>
      <c r="H360" s="86"/>
      <c r="I360" s="87"/>
      <c r="J360" s="10" t="e">
        <f>SUM(J327:J359)</f>
        <v>#REF!</v>
      </c>
      <c r="K360" s="10" t="e">
        <f>SUM(K327:K359)</f>
        <v>#REF!</v>
      </c>
      <c r="L360" s="10"/>
      <c r="M360" s="10"/>
      <c r="N360" s="10" t="e">
        <f>SUM(N327:N359)</f>
        <v>#REF!</v>
      </c>
      <c r="P360" s="10"/>
    </row>
    <row r="361" spans="2:16" hidden="1" x14ac:dyDescent="0.25">
      <c r="E361" s="87"/>
      <c r="F361" s="86"/>
      <c r="G361" s="86"/>
      <c r="H361" s="86"/>
      <c r="I361" s="87"/>
      <c r="J361" s="6"/>
    </row>
    <row r="362" spans="2:16" hidden="1" x14ac:dyDescent="0.25">
      <c r="E362" s="87"/>
      <c r="F362" s="86"/>
      <c r="G362" s="86"/>
      <c r="H362" s="86"/>
      <c r="I362" s="87"/>
      <c r="J362" s="10" t="e">
        <f>J360-J305</f>
        <v>#REF!</v>
      </c>
      <c r="K362" s="10" t="e">
        <f>K360-K305</f>
        <v>#REF!</v>
      </c>
      <c r="L362" s="10"/>
      <c r="M362" s="10"/>
      <c r="N362" s="10" t="e">
        <f>N360-N305</f>
        <v>#REF!</v>
      </c>
      <c r="P362" s="10"/>
    </row>
    <row r="363" spans="2:16" hidden="1" x14ac:dyDescent="0.25">
      <c r="E363" s="87"/>
      <c r="F363" s="86"/>
      <c r="G363" s="86"/>
      <c r="H363" s="86"/>
      <c r="I363" s="87"/>
      <c r="J363" s="6"/>
    </row>
    <row r="364" spans="2:16" hidden="1" x14ac:dyDescent="0.25">
      <c r="B364" s="6" t="s">
        <v>649</v>
      </c>
      <c r="E364" s="87"/>
      <c r="F364" s="86"/>
      <c r="G364" s="86"/>
      <c r="H364" s="86"/>
      <c r="I364" s="87"/>
      <c r="J364" s="6"/>
    </row>
    <row r="365" spans="2:16" hidden="1" x14ac:dyDescent="0.25">
      <c r="E365" s="87"/>
      <c r="F365" s="242" t="s">
        <v>18</v>
      </c>
      <c r="G365" s="86"/>
      <c r="H365" s="86"/>
      <c r="I365" s="87"/>
      <c r="J365" s="10">
        <f>Функц.!J6</f>
        <v>29433200</v>
      </c>
      <c r="K365" s="10">
        <f>Функц.!K6</f>
        <v>803088</v>
      </c>
      <c r="L365" s="10"/>
      <c r="M365" s="10"/>
      <c r="N365" s="10">
        <f>Функц.!L6</f>
        <v>30236288</v>
      </c>
      <c r="P365" s="10"/>
    </row>
    <row r="366" spans="2:16" hidden="1" x14ac:dyDescent="0.25">
      <c r="E366" s="86"/>
      <c r="F366" s="242" t="s">
        <v>74</v>
      </c>
      <c r="G366" s="86"/>
      <c r="H366" s="87"/>
      <c r="I366" s="87"/>
      <c r="J366" s="10">
        <f>Функц.!J85</f>
        <v>1229519</v>
      </c>
      <c r="K366" s="10">
        <f>Функц.!K85</f>
        <v>0</v>
      </c>
      <c r="L366" s="10"/>
      <c r="M366" s="10"/>
      <c r="N366" s="10">
        <f>Функц.!L85</f>
        <v>1229519</v>
      </c>
      <c r="P366" s="10"/>
    </row>
    <row r="367" spans="2:16" hidden="1" x14ac:dyDescent="0.25">
      <c r="E367" s="87"/>
      <c r="F367" s="242" t="s">
        <v>4</v>
      </c>
      <c r="G367" s="86"/>
      <c r="H367" s="87"/>
      <c r="I367" s="87"/>
      <c r="J367" s="10">
        <f>Функц.!J94</f>
        <v>1332400</v>
      </c>
      <c r="K367" s="10">
        <f>Функц.!K94</f>
        <v>10900</v>
      </c>
      <c r="L367" s="10"/>
      <c r="M367" s="10"/>
      <c r="N367" s="10">
        <f>Функц.!L94</f>
        <v>1343300</v>
      </c>
      <c r="P367" s="10"/>
    </row>
    <row r="368" spans="2:16" hidden="1" x14ac:dyDescent="0.25">
      <c r="E368" s="87"/>
      <c r="F368" s="242" t="s">
        <v>7</v>
      </c>
      <c r="G368" s="86"/>
      <c r="H368" s="87"/>
      <c r="I368" s="87"/>
      <c r="J368" s="10">
        <f>Функц.!J101</f>
        <v>2897640</v>
      </c>
      <c r="K368" s="10">
        <f>Функц.!K101</f>
        <v>1300000</v>
      </c>
      <c r="L368" s="10"/>
      <c r="M368" s="10"/>
      <c r="N368" s="10">
        <f>Функц.!L101</f>
        <v>4197640</v>
      </c>
      <c r="P368" s="10"/>
    </row>
    <row r="369" spans="2:16" hidden="1" x14ac:dyDescent="0.25">
      <c r="E369" s="6"/>
      <c r="F369" s="242" t="s">
        <v>64</v>
      </c>
      <c r="J369" s="10">
        <f>Функц.!J128</f>
        <v>741440</v>
      </c>
      <c r="K369" s="10">
        <f>Функц.!K128</f>
        <v>943038</v>
      </c>
      <c r="L369" s="10"/>
      <c r="M369" s="10"/>
      <c r="N369" s="10">
        <f>Функц.!L128</f>
        <v>1684478</v>
      </c>
      <c r="P369" s="10"/>
    </row>
    <row r="370" spans="2:16" hidden="1" x14ac:dyDescent="0.25">
      <c r="E370" s="6"/>
      <c r="F370" s="242" t="s">
        <v>37</v>
      </c>
      <c r="G370" s="6"/>
      <c r="J370" s="10">
        <f>Функц.!J152</f>
        <v>147928123</v>
      </c>
      <c r="K370" s="10">
        <f>Функц.!K152</f>
        <v>4842980</v>
      </c>
      <c r="L370" s="10"/>
      <c r="M370" s="10"/>
      <c r="N370" s="10">
        <f>Функц.!L152</f>
        <v>152771103</v>
      </c>
      <c r="P370" s="10"/>
    </row>
    <row r="371" spans="2:16" hidden="1" x14ac:dyDescent="0.25">
      <c r="E371" s="6"/>
      <c r="F371" s="242" t="s">
        <v>86</v>
      </c>
      <c r="G371" s="6"/>
      <c r="J371" s="10">
        <f>Функц.!J215</f>
        <v>14967040</v>
      </c>
      <c r="K371" s="10">
        <f>Функц.!K215</f>
        <v>605000</v>
      </c>
      <c r="L371" s="10"/>
      <c r="M371" s="10"/>
      <c r="N371" s="10">
        <f>Функц.!L215</f>
        <v>15572040</v>
      </c>
      <c r="P371" s="10"/>
    </row>
    <row r="372" spans="2:16" hidden="1" x14ac:dyDescent="0.25">
      <c r="E372" s="6"/>
      <c r="F372" s="242" t="s">
        <v>0</v>
      </c>
      <c r="G372" s="6"/>
      <c r="J372" s="10">
        <f>Функц.!J245</f>
        <v>20684071</v>
      </c>
      <c r="K372" s="10">
        <f>Функц.!K245</f>
        <v>0</v>
      </c>
      <c r="L372" s="10"/>
      <c r="M372" s="10"/>
      <c r="N372" s="10">
        <f>Функц.!L245</f>
        <v>20684071</v>
      </c>
      <c r="P372" s="10"/>
    </row>
    <row r="373" spans="2:16" hidden="1" x14ac:dyDescent="0.25">
      <c r="E373" s="6"/>
      <c r="F373" s="242" t="s">
        <v>39</v>
      </c>
      <c r="G373" s="6"/>
      <c r="J373" s="10">
        <f>Функц.!J288</f>
        <v>544000</v>
      </c>
      <c r="K373" s="10">
        <f>Функц.!K288</f>
        <v>0</v>
      </c>
      <c r="L373" s="10"/>
      <c r="M373" s="10"/>
      <c r="N373" s="10">
        <f>Функц.!L288</f>
        <v>544000</v>
      </c>
      <c r="P373" s="10"/>
    </row>
    <row r="374" spans="2:16" hidden="1" x14ac:dyDescent="0.25">
      <c r="E374" s="6"/>
      <c r="F374" s="242" t="s">
        <v>167</v>
      </c>
      <c r="G374" s="6"/>
      <c r="J374" s="10">
        <f>Функц.!J296</f>
        <v>14489000</v>
      </c>
      <c r="K374" s="10">
        <f>Функц.!K296</f>
        <v>0</v>
      </c>
      <c r="L374" s="10"/>
      <c r="M374" s="10"/>
      <c r="N374" s="10">
        <f>Функц.!L296</f>
        <v>14489000</v>
      </c>
      <c r="P374" s="10"/>
    </row>
    <row r="375" spans="2:16" hidden="1" x14ac:dyDescent="0.25">
      <c r="J375" s="6"/>
    </row>
    <row r="376" spans="2:16" hidden="1" x14ac:dyDescent="0.25">
      <c r="E376" s="6"/>
      <c r="F376" s="6"/>
      <c r="G376" s="6"/>
      <c r="J376" s="6"/>
    </row>
    <row r="377" spans="2:16" hidden="1" x14ac:dyDescent="0.25">
      <c r="B377" s="6" t="s">
        <v>650</v>
      </c>
      <c r="E377" s="6"/>
      <c r="F377" s="242" t="s">
        <v>18</v>
      </c>
      <c r="G377" s="6"/>
      <c r="J377" s="10">
        <f>J350-J365</f>
        <v>-506700</v>
      </c>
      <c r="K377" s="10">
        <f>K350-K365</f>
        <v>27848610</v>
      </c>
      <c r="L377" s="10"/>
      <c r="M377" s="10"/>
      <c r="N377" s="10">
        <f>N350-N365</f>
        <v>-1179370</v>
      </c>
      <c r="P377" s="10"/>
    </row>
    <row r="378" spans="2:16" hidden="1" x14ac:dyDescent="0.25">
      <c r="E378" s="6"/>
      <c r="F378" s="242" t="s">
        <v>74</v>
      </c>
      <c r="G378" s="6"/>
      <c r="J378" s="10">
        <f t="shared" ref="J378:N386" si="169">J351-J366</f>
        <v>0</v>
      </c>
      <c r="K378" s="10">
        <f t="shared" si="169"/>
        <v>1244541</v>
      </c>
      <c r="L378" s="10"/>
      <c r="M378" s="10"/>
      <c r="N378" s="10">
        <f t="shared" si="169"/>
        <v>-40005</v>
      </c>
      <c r="P378" s="10"/>
    </row>
    <row r="379" spans="2:16" hidden="1" x14ac:dyDescent="0.25">
      <c r="F379" s="242" t="s">
        <v>4</v>
      </c>
      <c r="J379" s="10">
        <f t="shared" si="169"/>
        <v>0</v>
      </c>
      <c r="K379" s="10">
        <f t="shared" si="169"/>
        <v>1321500</v>
      </c>
      <c r="L379" s="10"/>
      <c r="M379" s="10"/>
      <c r="N379" s="10">
        <f t="shared" si="169"/>
        <v>-10900</v>
      </c>
      <c r="P379" s="10"/>
    </row>
    <row r="380" spans="2:16" hidden="1" x14ac:dyDescent="0.25">
      <c r="F380" s="242" t="s">
        <v>7</v>
      </c>
      <c r="J380" s="10">
        <f t="shared" si="169"/>
        <v>0</v>
      </c>
      <c r="K380" s="10">
        <f t="shared" si="169"/>
        <v>2224640</v>
      </c>
      <c r="L380" s="10"/>
      <c r="M380" s="10"/>
      <c r="N380" s="10">
        <f t="shared" si="169"/>
        <v>-1312000</v>
      </c>
      <c r="P380" s="10"/>
    </row>
    <row r="381" spans="2:16" hidden="1" x14ac:dyDescent="0.25">
      <c r="F381" s="242" t="s">
        <v>64</v>
      </c>
      <c r="J381" s="10">
        <f t="shared" si="169"/>
        <v>0</v>
      </c>
      <c r="K381" s="10">
        <f t="shared" si="169"/>
        <v>-201538</v>
      </c>
      <c r="L381" s="10"/>
      <c r="M381" s="10"/>
      <c r="N381" s="10">
        <f t="shared" si="169"/>
        <v>-942983</v>
      </c>
      <c r="P381" s="10"/>
    </row>
    <row r="382" spans="2:16" hidden="1" x14ac:dyDescent="0.25">
      <c r="F382" s="242" t="s">
        <v>37</v>
      </c>
      <c r="J382" s="10">
        <f t="shared" si="169"/>
        <v>0</v>
      </c>
      <c r="K382" s="10">
        <f t="shared" si="169"/>
        <v>143609743</v>
      </c>
      <c r="L382" s="10"/>
      <c r="M382" s="10"/>
      <c r="N382" s="10">
        <f t="shared" si="169"/>
        <v>-5204380</v>
      </c>
      <c r="P382" s="10"/>
    </row>
    <row r="383" spans="2:16" hidden="1" x14ac:dyDescent="0.25">
      <c r="F383" s="242" t="s">
        <v>86</v>
      </c>
      <c r="J383" s="10">
        <f t="shared" si="169"/>
        <v>0</v>
      </c>
      <c r="K383" s="10">
        <f t="shared" si="169"/>
        <v>2553540</v>
      </c>
      <c r="L383" s="10"/>
      <c r="M383" s="10"/>
      <c r="N383" s="10">
        <f t="shared" si="169"/>
        <v>-12413500</v>
      </c>
      <c r="P383" s="10"/>
    </row>
    <row r="384" spans="2:16" hidden="1" x14ac:dyDescent="0.25">
      <c r="F384" s="242" t="s">
        <v>0</v>
      </c>
      <c r="J384" s="10">
        <f t="shared" si="169"/>
        <v>0</v>
      </c>
      <c r="K384" s="10">
        <f t="shared" si="169"/>
        <v>20638696</v>
      </c>
      <c r="L384" s="10"/>
      <c r="M384" s="10"/>
      <c r="N384" s="10">
        <f t="shared" si="169"/>
        <v>-51575</v>
      </c>
      <c r="P384" s="10"/>
    </row>
    <row r="385" spans="2:16" hidden="1" x14ac:dyDescent="0.25">
      <c r="F385" s="242" t="s">
        <v>39</v>
      </c>
      <c r="J385" s="10">
        <f t="shared" si="169"/>
        <v>0</v>
      </c>
      <c r="K385" s="10">
        <f t="shared" si="169"/>
        <v>260000</v>
      </c>
      <c r="L385" s="10"/>
      <c r="M385" s="10"/>
      <c r="N385" s="10">
        <f t="shared" si="169"/>
        <v>-284000</v>
      </c>
      <c r="P385" s="10"/>
    </row>
    <row r="386" spans="2:16" hidden="1" x14ac:dyDescent="0.25">
      <c r="F386" s="242" t="s">
        <v>167</v>
      </c>
      <c r="J386" s="10">
        <f t="shared" si="169"/>
        <v>0</v>
      </c>
      <c r="K386" s="10">
        <f t="shared" si="169"/>
        <v>18671000</v>
      </c>
      <c r="L386" s="10"/>
      <c r="M386" s="10"/>
      <c r="N386" s="10">
        <f t="shared" si="169"/>
        <v>232000</v>
      </c>
      <c r="P386" s="10"/>
    </row>
    <row r="387" spans="2:16" hidden="1" x14ac:dyDescent="0.25">
      <c r="B387" s="75">
        <v>851</v>
      </c>
      <c r="J387" s="6"/>
    </row>
    <row r="388" spans="2:16" hidden="1" x14ac:dyDescent="0.25">
      <c r="B388" s="6" t="s">
        <v>707</v>
      </c>
      <c r="J388" s="6"/>
    </row>
    <row r="389" spans="2:16" hidden="1" x14ac:dyDescent="0.25">
      <c r="J389" s="6"/>
    </row>
    <row r="390" spans="2:16" hidden="1" x14ac:dyDescent="0.25">
      <c r="J390" s="6"/>
    </row>
    <row r="391" spans="2:16" hidden="1" x14ac:dyDescent="0.25">
      <c r="J391" s="6"/>
    </row>
    <row r="392" spans="2:16" hidden="1" x14ac:dyDescent="0.25">
      <c r="J392" s="6"/>
    </row>
    <row r="393" spans="2:16" hidden="1" x14ac:dyDescent="0.25">
      <c r="J393" s="6"/>
    </row>
    <row r="394" spans="2:16" hidden="1" x14ac:dyDescent="0.25">
      <c r="J394" s="6"/>
    </row>
    <row r="395" spans="2:16" hidden="1" x14ac:dyDescent="0.25">
      <c r="J395" s="6"/>
    </row>
    <row r="396" spans="2:16" hidden="1" x14ac:dyDescent="0.25">
      <c r="H396" s="6" t="s">
        <v>577</v>
      </c>
      <c r="J396" s="10">
        <f>' Дох.15'!C119</f>
        <v>234246433</v>
      </c>
      <c r="K396" s="10">
        <f>' Дох.15'!F119</f>
        <v>4802500</v>
      </c>
      <c r="L396" s="10"/>
      <c r="M396" s="10"/>
      <c r="N396" s="10">
        <f>' Дох.15'!G119</f>
        <v>239048933</v>
      </c>
      <c r="P396" s="10"/>
    </row>
    <row r="397" spans="2:16" hidden="1" x14ac:dyDescent="0.25">
      <c r="J397" s="6"/>
    </row>
    <row r="398" spans="2:16" hidden="1" x14ac:dyDescent="0.25">
      <c r="J398" s="6"/>
    </row>
    <row r="399" spans="2:16" hidden="1" x14ac:dyDescent="0.25">
      <c r="J399" s="6"/>
    </row>
    <row r="400" spans="2:16" hidden="1" x14ac:dyDescent="0.25">
      <c r="J400" s="6"/>
    </row>
    <row r="401" spans="5:14" hidden="1" x14ac:dyDescent="0.25">
      <c r="J401" s="6"/>
    </row>
    <row r="402" spans="5:14" hidden="1" x14ac:dyDescent="0.25">
      <c r="J402" s="6"/>
    </row>
    <row r="403" spans="5:14" hidden="1" x14ac:dyDescent="0.25">
      <c r="J403" s="6"/>
    </row>
    <row r="404" spans="5:14" hidden="1" x14ac:dyDescent="0.25">
      <c r="E404" s="6"/>
      <c r="F404" s="6"/>
      <c r="G404" s="6"/>
      <c r="J404" s="6"/>
    </row>
    <row r="405" spans="5:14" hidden="1" x14ac:dyDescent="0.25">
      <c r="E405" s="6"/>
      <c r="F405" s="6"/>
      <c r="G405" s="6"/>
      <c r="J405" s="6"/>
    </row>
    <row r="406" spans="5:14" hidden="1" x14ac:dyDescent="0.25">
      <c r="E406" s="6"/>
      <c r="F406" s="6"/>
      <c r="G406" s="6"/>
      <c r="J406" s="6"/>
    </row>
    <row r="407" spans="5:14" x14ac:dyDescent="0.25">
      <c r="E407" s="6"/>
      <c r="F407" s="6"/>
      <c r="G407" s="6"/>
      <c r="J407" s="6"/>
    </row>
    <row r="408" spans="5:14" x14ac:dyDescent="0.25">
      <c r="E408" s="6"/>
      <c r="F408" s="6"/>
      <c r="G408" s="6"/>
      <c r="J408" s="6"/>
      <c r="K408" s="6">
        <v>230823280</v>
      </c>
      <c r="N408" s="6">
        <v>229348073</v>
      </c>
    </row>
    <row r="409" spans="5:14" x14ac:dyDescent="0.25">
      <c r="E409" s="6"/>
      <c r="F409" s="6"/>
      <c r="G409" s="6"/>
      <c r="J409" s="6"/>
    </row>
    <row r="410" spans="5:14" x14ac:dyDescent="0.25">
      <c r="J410" s="6"/>
    </row>
    <row r="411" spans="5:14" x14ac:dyDescent="0.25">
      <c r="E411" s="6"/>
      <c r="F411" s="6"/>
      <c r="G411" s="6"/>
      <c r="J411" s="6"/>
    </row>
    <row r="412" spans="5:14" x14ac:dyDescent="0.25">
      <c r="E412" s="6"/>
      <c r="F412" s="6"/>
      <c r="G412" s="6"/>
      <c r="J412" s="6"/>
    </row>
    <row r="413" spans="5:14" x14ac:dyDescent="0.25">
      <c r="E413" s="6"/>
      <c r="F413" s="6"/>
      <c r="G413" s="6"/>
      <c r="J413" s="6"/>
    </row>
    <row r="414" spans="5:14" x14ac:dyDescent="0.25">
      <c r="J414" s="6"/>
    </row>
    <row r="415" spans="5:14" x14ac:dyDescent="0.25">
      <c r="J415" s="6"/>
    </row>
    <row r="416" spans="5:14" x14ac:dyDescent="0.25">
      <c r="J416" s="6"/>
    </row>
    <row r="417" spans="2:17" x14ac:dyDescent="0.25">
      <c r="J417" s="6"/>
    </row>
    <row r="418" spans="2:17" x14ac:dyDescent="0.25">
      <c r="J418" s="6"/>
    </row>
    <row r="419" spans="2:17" x14ac:dyDescent="0.25">
      <c r="J419" s="6"/>
    </row>
    <row r="420" spans="2:17" x14ac:dyDescent="0.25">
      <c r="J420" s="6"/>
    </row>
    <row r="421" spans="2:17" x14ac:dyDescent="0.25">
      <c r="J421" s="6"/>
    </row>
    <row r="422" spans="2:17" x14ac:dyDescent="0.25">
      <c r="J422" s="6"/>
    </row>
    <row r="423" spans="2:17" x14ac:dyDescent="0.25">
      <c r="J423" s="6"/>
    </row>
    <row r="424" spans="2:17" x14ac:dyDescent="0.25">
      <c r="J424" s="6"/>
    </row>
    <row r="425" spans="2:17" x14ac:dyDescent="0.25">
      <c r="J425" s="6"/>
    </row>
    <row r="426" spans="2:17" x14ac:dyDescent="0.25">
      <c r="J426" s="6"/>
    </row>
    <row r="427" spans="2:17" x14ac:dyDescent="0.25">
      <c r="J427" s="6"/>
    </row>
    <row r="428" spans="2:17" x14ac:dyDescent="0.25">
      <c r="J428" s="6"/>
    </row>
    <row r="429" spans="2:17" x14ac:dyDescent="0.25">
      <c r="J429" s="6"/>
    </row>
    <row r="430" spans="2:17" x14ac:dyDescent="0.25">
      <c r="J430" s="6"/>
    </row>
    <row r="431" spans="2:17" hidden="1" x14ac:dyDescent="0.25">
      <c r="F431" s="242" t="s">
        <v>167</v>
      </c>
      <c r="K431" s="10">
        <f t="shared" ref="K431" si="170">K404-K419</f>
        <v>0</v>
      </c>
      <c r="L431" s="10"/>
      <c r="M431" s="10"/>
      <c r="N431" s="10"/>
      <c r="O431" s="10"/>
      <c r="P431" s="10"/>
      <c r="Q431" s="10">
        <f t="shared" ref="Q431" si="171">Q404-Q419</f>
        <v>0</v>
      </c>
    </row>
    <row r="432" spans="2:17" hidden="1" x14ac:dyDescent="0.25">
      <c r="B432" s="75">
        <v>851</v>
      </c>
    </row>
    <row r="433" spans="2:2" s="6" customFormat="1" hidden="1" x14ac:dyDescent="0.25">
      <c r="B433" s="6" t="s">
        <v>707</v>
      </c>
    </row>
    <row r="434" spans="2:2" s="6" customFormat="1" hidden="1" x14ac:dyDescent="0.25"/>
    <row r="435" spans="2:2" s="6" customFormat="1" hidden="1" x14ac:dyDescent="0.25"/>
    <row r="436" spans="2:2" s="6" customFormat="1" hidden="1" x14ac:dyDescent="0.25"/>
    <row r="437" spans="2:2" s="6" customFormat="1" hidden="1" x14ac:dyDescent="0.25"/>
    <row r="438" spans="2:2" s="6" customFormat="1" hidden="1" x14ac:dyDescent="0.25"/>
    <row r="450" spans="5:10" x14ac:dyDescent="0.25">
      <c r="E450" s="6"/>
      <c r="F450" s="6"/>
      <c r="G450" s="6"/>
      <c r="J450" s="6"/>
    </row>
    <row r="451" spans="5:10" x14ac:dyDescent="0.25">
      <c r="E451" s="6"/>
      <c r="F451" s="6"/>
      <c r="G451" s="6"/>
      <c r="J451" s="6"/>
    </row>
    <row r="452" spans="5:10" x14ac:dyDescent="0.25">
      <c r="E452" s="6"/>
      <c r="F452" s="6"/>
      <c r="G452" s="6"/>
      <c r="J452" s="6"/>
    </row>
    <row r="453" spans="5:10" x14ac:dyDescent="0.25">
      <c r="E453" s="6"/>
      <c r="F453" s="6"/>
      <c r="G453" s="6"/>
      <c r="J453" s="6"/>
    </row>
    <row r="454" spans="5:10" x14ac:dyDescent="0.25">
      <c r="E454" s="6"/>
      <c r="F454" s="6"/>
      <c r="G454" s="6"/>
      <c r="J454" s="6"/>
    </row>
    <row r="455" spans="5:10" x14ac:dyDescent="0.25">
      <c r="E455" s="6"/>
      <c r="F455" s="6"/>
      <c r="G455" s="6"/>
      <c r="J455" s="6"/>
    </row>
    <row r="457" spans="5:10" x14ac:dyDescent="0.25">
      <c r="E457" s="6"/>
      <c r="F457" s="6"/>
      <c r="G457" s="6"/>
      <c r="J457" s="6"/>
    </row>
    <row r="458" spans="5:10" x14ac:dyDescent="0.25">
      <c r="E458" s="6"/>
      <c r="F458" s="6"/>
      <c r="G458" s="6"/>
      <c r="J458" s="6"/>
    </row>
    <row r="459" spans="5:10" x14ac:dyDescent="0.25">
      <c r="E459" s="6"/>
      <c r="F459" s="6"/>
      <c r="G459" s="6"/>
      <c r="J459" s="6"/>
    </row>
  </sheetData>
  <mergeCells count="126">
    <mergeCell ref="I2:P2"/>
    <mergeCell ref="A3:P3"/>
    <mergeCell ref="I1:N1"/>
    <mergeCell ref="A49:B49"/>
    <mergeCell ref="A69:B69"/>
    <mergeCell ref="A74:B74"/>
    <mergeCell ref="A77:B77"/>
    <mergeCell ref="A44:B44"/>
    <mergeCell ref="A62:B62"/>
    <mergeCell ref="A41:B41"/>
    <mergeCell ref="A57:B57"/>
    <mergeCell ref="A71:B71"/>
    <mergeCell ref="A21:B21"/>
    <mergeCell ref="A25:B25"/>
    <mergeCell ref="A5:B5"/>
    <mergeCell ref="A6:B6"/>
    <mergeCell ref="A7:B7"/>
    <mergeCell ref="A8:B8"/>
    <mergeCell ref="A29:B29"/>
    <mergeCell ref="A9:B9"/>
    <mergeCell ref="A12:B12"/>
    <mergeCell ref="A24:B24"/>
    <mergeCell ref="A28:B28"/>
    <mergeCell ref="A32:B32"/>
    <mergeCell ref="A163:B163"/>
    <mergeCell ref="A146:B146"/>
    <mergeCell ref="A153:B153"/>
    <mergeCell ref="A143:B143"/>
    <mergeCell ref="A152:B152"/>
    <mergeCell ref="A157:B157"/>
    <mergeCell ref="A161:B161"/>
    <mergeCell ref="A162:B162"/>
    <mergeCell ref="A142:B142"/>
    <mergeCell ref="A147:B147"/>
    <mergeCell ref="A154:B154"/>
    <mergeCell ref="A160:B160"/>
    <mergeCell ref="A33:B33"/>
    <mergeCell ref="A38:B38"/>
    <mergeCell ref="A52:B52"/>
    <mergeCell ref="A55:B55"/>
    <mergeCell ref="A56:B56"/>
    <mergeCell ref="A63:B63"/>
    <mergeCell ref="A188:B188"/>
    <mergeCell ref="A194:B194"/>
    <mergeCell ref="A191:B191"/>
    <mergeCell ref="A64:B64"/>
    <mergeCell ref="A70:B70"/>
    <mergeCell ref="A107:B107"/>
    <mergeCell ref="A78:B78"/>
    <mergeCell ref="A92:B92"/>
    <mergeCell ref="A106:B106"/>
    <mergeCell ref="A82:B82"/>
    <mergeCell ref="A81:B81"/>
    <mergeCell ref="A87:B87"/>
    <mergeCell ref="A91:B91"/>
    <mergeCell ref="A96:B96"/>
    <mergeCell ref="A99:B99"/>
    <mergeCell ref="A100:B100"/>
    <mergeCell ref="A101:B101"/>
    <mergeCell ref="A108:B108"/>
    <mergeCell ref="A195:B195"/>
    <mergeCell ref="A198:B198"/>
    <mergeCell ref="A199:B199"/>
    <mergeCell ref="A202:B202"/>
    <mergeCell ref="A166:B166"/>
    <mergeCell ref="A179:B179"/>
    <mergeCell ref="A169:B169"/>
    <mergeCell ref="A172:B172"/>
    <mergeCell ref="A175:B175"/>
    <mergeCell ref="A176:B176"/>
    <mergeCell ref="A182:B182"/>
    <mergeCell ref="A185:B185"/>
    <mergeCell ref="A214:B214"/>
    <mergeCell ref="A237:B237"/>
    <mergeCell ref="A277:B277"/>
    <mergeCell ref="A220:B220"/>
    <mergeCell ref="A223:B223"/>
    <mergeCell ref="A232:B232"/>
    <mergeCell ref="A211:B211"/>
    <mergeCell ref="A215:B215"/>
    <mergeCell ref="A216:B216"/>
    <mergeCell ref="A219:B219"/>
    <mergeCell ref="A228:B228"/>
    <mergeCell ref="A231:B231"/>
    <mergeCell ref="A242:B242"/>
    <mergeCell ref="A243:B243"/>
    <mergeCell ref="A244:B244"/>
    <mergeCell ref="A245:B245"/>
    <mergeCell ref="A253:B253"/>
    <mergeCell ref="A272:B272"/>
    <mergeCell ref="A276:B276"/>
    <mergeCell ref="A296:B296"/>
    <mergeCell ref="A302:B302"/>
    <mergeCell ref="A283:B283"/>
    <mergeCell ref="A254:B254"/>
    <mergeCell ref="A259:B259"/>
    <mergeCell ref="A263:B263"/>
    <mergeCell ref="A268:B268"/>
    <mergeCell ref="A282:B282"/>
    <mergeCell ref="A264:B264"/>
    <mergeCell ref="A267:B267"/>
    <mergeCell ref="A269:B269"/>
    <mergeCell ref="A273:B273"/>
    <mergeCell ref="A297:B297"/>
    <mergeCell ref="A257:B257"/>
    <mergeCell ref="A258:B258"/>
    <mergeCell ref="A262:B262"/>
    <mergeCell ref="A280:B280"/>
    <mergeCell ref="A281:B281"/>
    <mergeCell ref="A286:B286"/>
    <mergeCell ref="A287:B287"/>
    <mergeCell ref="A294:B294"/>
    <mergeCell ref="A295:B295"/>
    <mergeCell ref="A111:B111"/>
    <mergeCell ref="A114:B114"/>
    <mergeCell ref="A126:B126"/>
    <mergeCell ref="A133:B133"/>
    <mergeCell ref="A135:B135"/>
    <mergeCell ref="A138:B138"/>
    <mergeCell ref="A139:B139"/>
    <mergeCell ref="A129:B129"/>
    <mergeCell ref="A130:B130"/>
    <mergeCell ref="A134:B134"/>
    <mergeCell ref="A117:B117"/>
    <mergeCell ref="A120:B120"/>
    <mergeCell ref="A123:B123"/>
  </mergeCells>
  <pageMargins left="0.62992125984251968" right="0.51181102362204722" top="0.19685039370078741" bottom="0.15748031496062992"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26</vt:i4>
      </vt:variant>
      <vt:variant>
        <vt:lpstr>Именованные диапазоны</vt:lpstr>
      </vt:variant>
      <vt:variant>
        <vt:i4>6</vt:i4>
      </vt:variant>
    </vt:vector>
  </HeadingPairs>
  <TitlesOfParts>
    <vt:vector size="32" baseType="lpstr">
      <vt:lpstr> Дох.15</vt:lpstr>
      <vt:lpstr>1 Норм</vt:lpstr>
      <vt:lpstr>2 Адм.дох</vt:lpstr>
      <vt:lpstr>3 Ист.дох</vt:lpstr>
      <vt:lpstr>4 Адм.ОГВ</vt:lpstr>
      <vt:lpstr>5.Адм.ист.</vt:lpstr>
      <vt:lpstr>Функц.</vt:lpstr>
      <vt:lpstr>6 Вед15</vt:lpstr>
      <vt:lpstr>7 Вед.15-16</vt:lpstr>
      <vt:lpstr>8 МП15</vt:lpstr>
      <vt:lpstr>9 МП15-16</vt:lpstr>
      <vt:lpstr>10.1 Выр.15</vt:lpstr>
      <vt:lpstr>10.2 Сб 15</vt:lpstr>
      <vt:lpstr>10.3 Ком.15</vt:lpstr>
      <vt:lpstr>10.4 В.уч15</vt:lpstr>
      <vt:lpstr>10.5 Прот.15</vt:lpstr>
      <vt:lpstr>10.7 Сб.МР</vt:lpstr>
      <vt:lpstr>10.8 Жилф</vt:lpstr>
      <vt:lpstr>10.9 Газ</vt:lpstr>
      <vt:lpstr>11.1 Выр.16-17</vt:lpstr>
      <vt:lpstr>11.2 СБ.16-17</vt:lpstr>
      <vt:lpstr>11.3 Ком.16-17</vt:lpstr>
      <vt:lpstr>11.4 В.уч.16-17</vt:lpstr>
      <vt:lpstr>11.5 Прот.16-17</vt:lpstr>
      <vt:lpstr>12 Ист.15</vt:lpstr>
      <vt:lpstr>13 Ист.15-16</vt:lpstr>
      <vt:lpstr>' Дох.15'!Заголовки_для_печати</vt:lpstr>
      <vt:lpstr>'6 Вед15'!Заголовки_для_печати</vt:lpstr>
      <vt:lpstr>'7 Вед.15-16'!Заголовки_для_печати</vt:lpstr>
      <vt:lpstr>'8 МП15'!Заголовки_для_печати</vt:lpstr>
      <vt:lpstr>'9 МП15-16'!Заголовки_для_печати</vt:lpstr>
      <vt:lpstr>Функц.!Заголовки_для_печати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2015-04-24T12:41:47Z</dcterms:modified>
</cp:coreProperties>
</file>