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Дох." sheetId="2" r:id="rId1"/>
    <sheet name="Функц." sheetId="3" r:id="rId2"/>
    <sheet name="Вед." sheetId="4" r:id="rId3"/>
    <sheet name="Ист." sheetId="5" r:id="rId4"/>
  </sheets>
  <externalReferences>
    <externalReference r:id="rId5"/>
  </externalReferences>
  <definedNames>
    <definedName name="_xlnm.Print_Titles" localSheetId="0">Дох.!$4:$4</definedName>
  </definedNames>
  <calcPr calcId="145621"/>
</workbook>
</file>

<file path=xl/calcChain.xml><?xml version="1.0" encoding="utf-8"?>
<calcChain xmlns="http://schemas.openxmlformats.org/spreadsheetml/2006/main">
  <c r="D7" i="5" l="1"/>
  <c r="D6" i="5" s="1"/>
  <c r="D5" i="5" s="1"/>
  <c r="O408" i="4"/>
  <c r="O407" i="4"/>
  <c r="J407" i="4"/>
  <c r="J406" i="4" s="1"/>
  <c r="O406" i="4"/>
  <c r="I406" i="4"/>
  <c r="H406" i="4"/>
  <c r="J244" i="3"/>
  <c r="J131" i="3"/>
  <c r="J203" i="3"/>
  <c r="J191" i="3"/>
  <c r="J359" i="4"/>
  <c r="J358" i="4" s="1"/>
  <c r="J248" i="3"/>
  <c r="O210" i="4"/>
  <c r="O209" i="4"/>
  <c r="J209" i="4"/>
  <c r="O208" i="4"/>
  <c r="J208" i="4"/>
  <c r="J155" i="3"/>
  <c r="J45" i="3"/>
  <c r="J41" i="4"/>
  <c r="J44" i="4"/>
  <c r="J116" i="4"/>
  <c r="J342" i="3" l="1"/>
  <c r="J387" i="3"/>
  <c r="J386" i="3" s="1"/>
  <c r="I426" i="4"/>
  <c r="J423" i="4"/>
  <c r="J422" i="4" s="1"/>
  <c r="J421" i="4" s="1"/>
  <c r="J420" i="4" s="1"/>
  <c r="J419" i="4" s="1"/>
  <c r="I422" i="4"/>
  <c r="H422" i="4"/>
  <c r="H421" i="4" s="1"/>
  <c r="H420" i="4" s="1"/>
  <c r="H419" i="4" s="1"/>
  <c r="I421" i="4"/>
  <c r="I420" i="4" s="1"/>
  <c r="I419" i="4" s="1"/>
  <c r="J418" i="4"/>
  <c r="J417" i="4" s="1"/>
  <c r="J416" i="4" s="1"/>
  <c r="J415" i="4" s="1"/>
  <c r="I417" i="4"/>
  <c r="I416" i="4" s="1"/>
  <c r="I415" i="4" s="1"/>
  <c r="H417" i="4"/>
  <c r="H416" i="4" s="1"/>
  <c r="H415" i="4" s="1"/>
  <c r="J414" i="4"/>
  <c r="J413" i="4" s="1"/>
  <c r="J412" i="4" s="1"/>
  <c r="J411" i="4" s="1"/>
  <c r="I413" i="4"/>
  <c r="I412" i="4" s="1"/>
  <c r="I411" i="4" s="1"/>
  <c r="H413" i="4"/>
  <c r="H412" i="4" s="1"/>
  <c r="H411" i="4" s="1"/>
  <c r="J405" i="4"/>
  <c r="J404" i="4"/>
  <c r="J403" i="4" s="1"/>
  <c r="J402" i="4" s="1"/>
  <c r="J401" i="4" s="1"/>
  <c r="I403" i="4"/>
  <c r="H403" i="4"/>
  <c r="H402" i="4" s="1"/>
  <c r="H401" i="4" s="1"/>
  <c r="H400" i="4" s="1"/>
  <c r="H399" i="4" s="1"/>
  <c r="I402" i="4"/>
  <c r="I401" i="4" s="1"/>
  <c r="I400" i="4" s="1"/>
  <c r="I399" i="4" s="1"/>
  <c r="J398" i="4"/>
  <c r="J397" i="4"/>
  <c r="I396" i="4"/>
  <c r="I395" i="4" s="1"/>
  <c r="I394" i="4" s="1"/>
  <c r="I393" i="4" s="1"/>
  <c r="I392" i="4" s="1"/>
  <c r="I433" i="4" s="1"/>
  <c r="H396" i="4"/>
  <c r="H395" i="4" s="1"/>
  <c r="H394" i="4" s="1"/>
  <c r="H393" i="4" s="1"/>
  <c r="H392" i="4" s="1"/>
  <c r="H433" i="4" s="1"/>
  <c r="J391" i="4"/>
  <c r="J390" i="4" s="1"/>
  <c r="I390" i="4"/>
  <c r="H390" i="4"/>
  <c r="J388" i="4"/>
  <c r="I388" i="4"/>
  <c r="I387" i="4" s="1"/>
  <c r="I386" i="4" s="1"/>
  <c r="I385" i="4" s="1"/>
  <c r="I384" i="4" s="1"/>
  <c r="H388" i="4"/>
  <c r="H387" i="4"/>
  <c r="H386" i="4" s="1"/>
  <c r="H385" i="4" s="1"/>
  <c r="H384" i="4" s="1"/>
  <c r="J382" i="4"/>
  <c r="J381" i="4"/>
  <c r="I381" i="4"/>
  <c r="H381" i="4"/>
  <c r="J380" i="4"/>
  <c r="J379" i="4"/>
  <c r="J378" i="4" s="1"/>
  <c r="J377" i="4" s="1"/>
  <c r="J376" i="4" s="1"/>
  <c r="I379" i="4"/>
  <c r="H379" i="4"/>
  <c r="H378" i="4" s="1"/>
  <c r="H377" i="4" s="1"/>
  <c r="H376" i="4" s="1"/>
  <c r="I378" i="4"/>
  <c r="I377" i="4" s="1"/>
  <c r="I376" i="4" s="1"/>
  <c r="J375" i="4"/>
  <c r="J374" i="4" s="1"/>
  <c r="I374" i="4"/>
  <c r="H374" i="4"/>
  <c r="J373" i="4"/>
  <c r="J372" i="4" s="1"/>
  <c r="I372" i="4"/>
  <c r="I371" i="4" s="1"/>
  <c r="I368" i="4" s="1"/>
  <c r="H372" i="4"/>
  <c r="H371" i="4"/>
  <c r="J370" i="4"/>
  <c r="J369" i="4"/>
  <c r="I369" i="4"/>
  <c r="H369" i="4"/>
  <c r="H368" i="4" s="1"/>
  <c r="J367" i="4"/>
  <c r="J366" i="4" s="1"/>
  <c r="J365" i="4" s="1"/>
  <c r="J364" i="4" s="1"/>
  <c r="I366" i="4"/>
  <c r="I365" i="4" s="1"/>
  <c r="I364" i="4" s="1"/>
  <c r="I363" i="4" s="1"/>
  <c r="H366" i="4"/>
  <c r="H365" i="4"/>
  <c r="H364" i="4" s="1"/>
  <c r="H363" i="4" s="1"/>
  <c r="J361" i="4"/>
  <c r="J357" i="4" s="1"/>
  <c r="I361" i="4"/>
  <c r="H361" i="4"/>
  <c r="H357" i="4" s="1"/>
  <c r="I357" i="4"/>
  <c r="J356" i="4"/>
  <c r="J355" i="4" s="1"/>
  <c r="I355" i="4"/>
  <c r="H355" i="4"/>
  <c r="J354" i="4"/>
  <c r="J353" i="4" s="1"/>
  <c r="I353" i="4"/>
  <c r="H353" i="4"/>
  <c r="H352" i="4" s="1"/>
  <c r="H351" i="4" s="1"/>
  <c r="J349" i="4"/>
  <c r="J348" i="4" s="1"/>
  <c r="I348" i="4"/>
  <c r="H348" i="4"/>
  <c r="J347" i="4"/>
  <c r="I346" i="4"/>
  <c r="H346" i="4"/>
  <c r="J345" i="4"/>
  <c r="I344" i="4"/>
  <c r="H344" i="4"/>
  <c r="I342" i="4"/>
  <c r="H342" i="4"/>
  <c r="J339" i="4"/>
  <c r="I339" i="4"/>
  <c r="H339" i="4"/>
  <c r="J337" i="4"/>
  <c r="I337" i="4"/>
  <c r="H337" i="4"/>
  <c r="I336" i="4"/>
  <c r="J335" i="4"/>
  <c r="J334" i="4" s="1"/>
  <c r="J333" i="4" s="1"/>
  <c r="J332" i="4" s="1"/>
  <c r="I334" i="4"/>
  <c r="H334" i="4"/>
  <c r="H333" i="4" s="1"/>
  <c r="H332" i="4" s="1"/>
  <c r="I333" i="4"/>
  <c r="I332" i="4" s="1"/>
  <c r="J331" i="4"/>
  <c r="J330" i="4"/>
  <c r="I330" i="4"/>
  <c r="H330" i="4"/>
  <c r="J329" i="4"/>
  <c r="J328" i="4"/>
  <c r="I328" i="4"/>
  <c r="H328" i="4"/>
  <c r="J326" i="4"/>
  <c r="I326" i="4"/>
  <c r="H326" i="4"/>
  <c r="I325" i="4"/>
  <c r="I324" i="4" s="1"/>
  <c r="J323" i="4"/>
  <c r="J322" i="4" s="1"/>
  <c r="I322" i="4"/>
  <c r="I319" i="4" s="1"/>
  <c r="I318" i="4" s="1"/>
  <c r="H322" i="4"/>
  <c r="J320" i="4"/>
  <c r="I320" i="4"/>
  <c r="H320" i="4"/>
  <c r="H319" i="4" s="1"/>
  <c r="H318" i="4" s="1"/>
  <c r="J317" i="4"/>
  <c r="J316" i="4" s="1"/>
  <c r="J315" i="4" s="1"/>
  <c r="I316" i="4"/>
  <c r="H316" i="4"/>
  <c r="H315" i="4" s="1"/>
  <c r="I315" i="4"/>
  <c r="J313" i="4"/>
  <c r="J312" i="4" s="1"/>
  <c r="J311" i="4" s="1"/>
  <c r="I313" i="4"/>
  <c r="I312" i="4" s="1"/>
  <c r="I311" i="4" s="1"/>
  <c r="H313" i="4"/>
  <c r="H312" i="4" s="1"/>
  <c r="H311" i="4" s="1"/>
  <c r="J308" i="4"/>
  <c r="J307" i="4" s="1"/>
  <c r="J306" i="4" s="1"/>
  <c r="I308" i="4"/>
  <c r="H308" i="4"/>
  <c r="H307" i="4" s="1"/>
  <c r="H306" i="4" s="1"/>
  <c r="I307" i="4"/>
  <c r="I306" i="4" s="1"/>
  <c r="J305" i="4"/>
  <c r="J304" i="4" s="1"/>
  <c r="I304" i="4"/>
  <c r="H304" i="4"/>
  <c r="J303" i="4"/>
  <c r="J302" i="4" s="1"/>
  <c r="I302" i="4"/>
  <c r="I299" i="4" s="1"/>
  <c r="I298" i="4" s="1"/>
  <c r="H302" i="4"/>
  <c r="J301" i="4"/>
  <c r="J300" i="4" s="1"/>
  <c r="J299" i="4" s="1"/>
  <c r="J298" i="4" s="1"/>
  <c r="I300" i="4"/>
  <c r="H300" i="4"/>
  <c r="H299" i="4" s="1"/>
  <c r="H298" i="4" s="1"/>
  <c r="J297" i="4"/>
  <c r="J296" i="4" s="1"/>
  <c r="J295" i="4" s="1"/>
  <c r="I296" i="4"/>
  <c r="H296" i="4"/>
  <c r="H295" i="4" s="1"/>
  <c r="I295" i="4"/>
  <c r="J294" i="4"/>
  <c r="J293" i="4" s="1"/>
  <c r="I293" i="4"/>
  <c r="H293" i="4"/>
  <c r="J292" i="4"/>
  <c r="J291" i="4" s="1"/>
  <c r="I291" i="4"/>
  <c r="H291" i="4"/>
  <c r="J290" i="4"/>
  <c r="J289" i="4" s="1"/>
  <c r="I289" i="4"/>
  <c r="H289" i="4"/>
  <c r="J288" i="4"/>
  <c r="J287" i="4" s="1"/>
  <c r="I287" i="4"/>
  <c r="H287" i="4"/>
  <c r="J286" i="4"/>
  <c r="J285" i="4" s="1"/>
  <c r="I285" i="4"/>
  <c r="H285" i="4"/>
  <c r="H284" i="4" s="1"/>
  <c r="H283" i="4" s="1"/>
  <c r="J282" i="4"/>
  <c r="J281" i="4" s="1"/>
  <c r="I281" i="4"/>
  <c r="H281" i="4"/>
  <c r="H280" i="4"/>
  <c r="J280" i="4" s="1"/>
  <c r="H279" i="4"/>
  <c r="J279" i="4" s="1"/>
  <c r="J278" i="4"/>
  <c r="J277" i="4" s="1"/>
  <c r="I277" i="4"/>
  <c r="H277" i="4"/>
  <c r="H276" i="4"/>
  <c r="J276" i="4" s="1"/>
  <c r="H275" i="4"/>
  <c r="J275" i="4" s="1"/>
  <c r="J273" i="4"/>
  <c r="I273" i="4"/>
  <c r="H273" i="4"/>
  <c r="J272" i="4"/>
  <c r="I271" i="4"/>
  <c r="H271" i="4"/>
  <c r="H270" i="4"/>
  <c r="J270" i="4" s="1"/>
  <c r="H269" i="4"/>
  <c r="J269" i="4" s="1"/>
  <c r="J267" i="4"/>
  <c r="I267" i="4"/>
  <c r="H267" i="4"/>
  <c r="H266" i="4"/>
  <c r="J266" i="4" s="1"/>
  <c r="H265" i="4"/>
  <c r="J265" i="4" s="1"/>
  <c r="J263" i="4"/>
  <c r="I263" i="4"/>
  <c r="H263" i="4"/>
  <c r="J260" i="4"/>
  <c r="J259" i="4" s="1"/>
  <c r="I259" i="4"/>
  <c r="H259" i="4"/>
  <c r="J258" i="4"/>
  <c r="J257" i="4" s="1"/>
  <c r="I257" i="4"/>
  <c r="H257" i="4"/>
  <c r="J255" i="4"/>
  <c r="I255" i="4"/>
  <c r="H255" i="4"/>
  <c r="J253" i="4"/>
  <c r="I253" i="4"/>
  <c r="H253" i="4"/>
  <c r="J251" i="4"/>
  <c r="I251" i="4"/>
  <c r="H251" i="4"/>
  <c r="J250" i="4"/>
  <c r="J249" i="4" s="1"/>
  <c r="I249" i="4"/>
  <c r="H249" i="4"/>
  <c r="J248" i="4"/>
  <c r="J247" i="4" s="1"/>
  <c r="I247" i="4"/>
  <c r="H247" i="4"/>
  <c r="J245" i="4"/>
  <c r="I245" i="4"/>
  <c r="H245" i="4"/>
  <c r="J243" i="4"/>
  <c r="I243" i="4"/>
  <c r="H243" i="4"/>
  <c r="J242" i="4"/>
  <c r="J241" i="4" s="1"/>
  <c r="I241" i="4"/>
  <c r="H241" i="4"/>
  <c r="J240" i="4"/>
  <c r="J239" i="4" s="1"/>
  <c r="I239" i="4"/>
  <c r="H239" i="4"/>
  <c r="J237" i="4"/>
  <c r="I237" i="4"/>
  <c r="H237" i="4"/>
  <c r="J235" i="4"/>
  <c r="I235" i="4"/>
  <c r="H235" i="4"/>
  <c r="J234" i="4"/>
  <c r="J233" i="4" s="1"/>
  <c r="I233" i="4"/>
  <c r="H233" i="4"/>
  <c r="J232" i="4"/>
  <c r="J231" i="4" s="1"/>
  <c r="I231" i="4"/>
  <c r="H231" i="4"/>
  <c r="J229" i="4"/>
  <c r="I229" i="4"/>
  <c r="H229" i="4"/>
  <c r="J227" i="4"/>
  <c r="I227" i="4"/>
  <c r="H227" i="4"/>
  <c r="J226" i="4"/>
  <c r="J225" i="4" s="1"/>
  <c r="I225" i="4"/>
  <c r="H225" i="4"/>
  <c r="J223" i="4"/>
  <c r="I223" i="4"/>
  <c r="H223" i="4"/>
  <c r="J221" i="4"/>
  <c r="I221" i="4"/>
  <c r="H221" i="4"/>
  <c r="J219" i="4"/>
  <c r="I219" i="4"/>
  <c r="H219" i="4"/>
  <c r="J215" i="4"/>
  <c r="J214" i="4" s="1"/>
  <c r="I214" i="4"/>
  <c r="I211" i="4" s="1"/>
  <c r="I207" i="4" s="1"/>
  <c r="H214" i="4"/>
  <c r="J213" i="4"/>
  <c r="J212" i="4" s="1"/>
  <c r="I212" i="4"/>
  <c r="H212" i="4"/>
  <c r="J205" i="4"/>
  <c r="I205" i="4"/>
  <c r="H205" i="4"/>
  <c r="J203" i="4"/>
  <c r="I203" i="4"/>
  <c r="H203" i="4"/>
  <c r="J202" i="4"/>
  <c r="J201" i="4" s="1"/>
  <c r="I201" i="4"/>
  <c r="H201" i="4"/>
  <c r="J200" i="4"/>
  <c r="J199" i="4" s="1"/>
  <c r="I199" i="4"/>
  <c r="H199" i="4"/>
  <c r="J197" i="4"/>
  <c r="I197" i="4"/>
  <c r="H197" i="4"/>
  <c r="J195" i="4"/>
  <c r="I195" i="4"/>
  <c r="H195" i="4"/>
  <c r="J192" i="4"/>
  <c r="J191" i="4" s="1"/>
  <c r="J190" i="4" s="1"/>
  <c r="I191" i="4"/>
  <c r="H191" i="4"/>
  <c r="H190" i="4" s="1"/>
  <c r="I190" i="4"/>
  <c r="J186" i="4"/>
  <c r="J185" i="4" s="1"/>
  <c r="I185" i="4"/>
  <c r="H185" i="4"/>
  <c r="J184" i="4"/>
  <c r="J183" i="4" s="1"/>
  <c r="I183" i="4"/>
  <c r="H183" i="4"/>
  <c r="I182" i="4"/>
  <c r="I181" i="4" s="1"/>
  <c r="I180" i="4" s="1"/>
  <c r="I179" i="4" s="1"/>
  <c r="I440" i="4" s="1"/>
  <c r="J177" i="4"/>
  <c r="J176" i="4" s="1"/>
  <c r="I177" i="4"/>
  <c r="H177" i="4"/>
  <c r="H176" i="4" s="1"/>
  <c r="H175" i="4" s="1"/>
  <c r="I176" i="4"/>
  <c r="I175" i="4" s="1"/>
  <c r="J175" i="4"/>
  <c r="J174" i="4"/>
  <c r="J173" i="4" s="1"/>
  <c r="J172" i="4" s="1"/>
  <c r="I173" i="4"/>
  <c r="H173" i="4"/>
  <c r="H172" i="4" s="1"/>
  <c r="I172" i="4"/>
  <c r="J170" i="4"/>
  <c r="J169" i="4" s="1"/>
  <c r="I170" i="4"/>
  <c r="I169" i="4" s="1"/>
  <c r="I168" i="4" s="1"/>
  <c r="H170" i="4"/>
  <c r="H169" i="4" s="1"/>
  <c r="H168" i="4" s="1"/>
  <c r="J166" i="4"/>
  <c r="J165" i="4" s="1"/>
  <c r="J164" i="4" s="1"/>
  <c r="I166" i="4"/>
  <c r="I165" i="4" s="1"/>
  <c r="I164" i="4" s="1"/>
  <c r="H166" i="4"/>
  <c r="H165" i="4" s="1"/>
  <c r="H164" i="4" s="1"/>
  <c r="J162" i="4"/>
  <c r="J161" i="4"/>
  <c r="I160" i="4"/>
  <c r="I159" i="4" s="1"/>
  <c r="H160" i="4"/>
  <c r="H159" i="4" s="1"/>
  <c r="J157" i="4"/>
  <c r="J156" i="4" s="1"/>
  <c r="I157" i="4"/>
  <c r="H157" i="4"/>
  <c r="H156" i="4" s="1"/>
  <c r="H155" i="4" s="1"/>
  <c r="I156" i="4"/>
  <c r="I155" i="4" s="1"/>
  <c r="J155" i="4"/>
  <c r="J153" i="4"/>
  <c r="J152" i="4" s="1"/>
  <c r="I152" i="4"/>
  <c r="H152" i="4"/>
  <c r="J151" i="4"/>
  <c r="J150" i="4" s="1"/>
  <c r="I150" i="4"/>
  <c r="H150" i="4"/>
  <c r="H149" i="4" s="1"/>
  <c r="J148" i="4"/>
  <c r="J147" i="4" s="1"/>
  <c r="J146" i="4" s="1"/>
  <c r="J145" i="4" s="1"/>
  <c r="I147" i="4"/>
  <c r="H147" i="4"/>
  <c r="H146" i="4" s="1"/>
  <c r="H145" i="4" s="1"/>
  <c r="I146" i="4"/>
  <c r="I145" i="4" s="1"/>
  <c r="J144" i="4"/>
  <c r="J143" i="4" s="1"/>
  <c r="I143" i="4"/>
  <c r="H143" i="4"/>
  <c r="J142" i="4"/>
  <c r="J141" i="4" s="1"/>
  <c r="I141" i="4"/>
  <c r="H141" i="4"/>
  <c r="J139" i="4"/>
  <c r="I139" i="4"/>
  <c r="H139" i="4"/>
  <c r="J138" i="4"/>
  <c r="J137" i="4" s="1"/>
  <c r="I137" i="4"/>
  <c r="I134" i="4" s="1"/>
  <c r="I133" i="4" s="1"/>
  <c r="H137" i="4"/>
  <c r="J135" i="4"/>
  <c r="I135" i="4"/>
  <c r="H135" i="4"/>
  <c r="J132" i="4"/>
  <c r="J131" i="4" s="1"/>
  <c r="I131" i="4"/>
  <c r="H131" i="4"/>
  <c r="J129" i="4"/>
  <c r="I129" i="4"/>
  <c r="H129" i="4"/>
  <c r="J128" i="4"/>
  <c r="J127" i="4" s="1"/>
  <c r="I127" i="4"/>
  <c r="H127" i="4"/>
  <c r="J125" i="4"/>
  <c r="I125" i="4"/>
  <c r="H125" i="4"/>
  <c r="J120" i="4"/>
  <c r="J119" i="4" s="1"/>
  <c r="J118" i="4" s="1"/>
  <c r="J117" i="4" s="1"/>
  <c r="I119" i="4"/>
  <c r="H119" i="4"/>
  <c r="H118" i="4" s="1"/>
  <c r="H117" i="4" s="1"/>
  <c r="I118" i="4"/>
  <c r="I117" i="4" s="1"/>
  <c r="J115" i="4"/>
  <c r="J114" i="4" s="1"/>
  <c r="J113" i="4" s="1"/>
  <c r="I115" i="4"/>
  <c r="H115" i="4"/>
  <c r="H114" i="4" s="1"/>
  <c r="I114" i="4"/>
  <c r="I113" i="4" s="1"/>
  <c r="I112" i="4" s="1"/>
  <c r="I111" i="4" s="1"/>
  <c r="H113" i="4"/>
  <c r="J109" i="4"/>
  <c r="J108" i="4" s="1"/>
  <c r="I109" i="4"/>
  <c r="H109" i="4"/>
  <c r="H108" i="4" s="1"/>
  <c r="H107" i="4" s="1"/>
  <c r="H106" i="4" s="1"/>
  <c r="H436" i="4" s="1"/>
  <c r="I108" i="4"/>
  <c r="I107" i="4" s="1"/>
  <c r="I106" i="4" s="1"/>
  <c r="I436" i="4" s="1"/>
  <c r="J107" i="4"/>
  <c r="J106" i="4" s="1"/>
  <c r="J436" i="4" s="1"/>
  <c r="J105" i="4"/>
  <c r="J104" i="4" s="1"/>
  <c r="J103" i="4" s="1"/>
  <c r="J102" i="4" s="1"/>
  <c r="J101" i="4" s="1"/>
  <c r="I104" i="4"/>
  <c r="I103" i="4" s="1"/>
  <c r="H104" i="4"/>
  <c r="H103" i="4" s="1"/>
  <c r="H102" i="4" s="1"/>
  <c r="H101" i="4" s="1"/>
  <c r="I102" i="4"/>
  <c r="I101" i="4" s="1"/>
  <c r="J100" i="4"/>
  <c r="J99" i="4" s="1"/>
  <c r="J98" i="4" s="1"/>
  <c r="I99" i="4"/>
  <c r="H99" i="4"/>
  <c r="H98" i="4" s="1"/>
  <c r="I98" i="4"/>
  <c r="I97" i="4"/>
  <c r="J97" i="4" s="1"/>
  <c r="J96" i="4" s="1"/>
  <c r="H96" i="4"/>
  <c r="J95" i="4"/>
  <c r="J94" i="4" s="1"/>
  <c r="I94" i="4"/>
  <c r="H94" i="4"/>
  <c r="H93" i="4" s="1"/>
  <c r="I93" i="4"/>
  <c r="J92" i="4"/>
  <c r="J91" i="4" s="1"/>
  <c r="J90" i="4" s="1"/>
  <c r="I91" i="4"/>
  <c r="I90" i="4" s="1"/>
  <c r="I89" i="4" s="1"/>
  <c r="H91" i="4"/>
  <c r="H90" i="4" s="1"/>
  <c r="J87" i="4"/>
  <c r="I87" i="4"/>
  <c r="H87" i="4"/>
  <c r="J85" i="4"/>
  <c r="I85" i="4"/>
  <c r="H85" i="4"/>
  <c r="H84" i="4"/>
  <c r="I83" i="4"/>
  <c r="J83" i="4" s="1"/>
  <c r="J82" i="4" s="1"/>
  <c r="I82" i="4"/>
  <c r="H82" i="4"/>
  <c r="J81" i="4"/>
  <c r="J80" i="4" s="1"/>
  <c r="J79" i="4" s="1"/>
  <c r="I80" i="4"/>
  <c r="H80" i="4"/>
  <c r="H79" i="4" s="1"/>
  <c r="H78" i="4" s="1"/>
  <c r="J76" i="4"/>
  <c r="I76" i="4"/>
  <c r="H76" i="4"/>
  <c r="J74" i="4"/>
  <c r="J73" i="4" s="1"/>
  <c r="J72" i="4" s="1"/>
  <c r="J71" i="4" s="1"/>
  <c r="I74" i="4"/>
  <c r="H74" i="4"/>
  <c r="J69" i="4"/>
  <c r="J68" i="4" s="1"/>
  <c r="I68" i="4"/>
  <c r="I65" i="4" s="1"/>
  <c r="I64" i="4" s="1"/>
  <c r="H68" i="4"/>
  <c r="J66" i="4"/>
  <c r="I66" i="4"/>
  <c r="H66" i="4"/>
  <c r="J62" i="4"/>
  <c r="J61" i="4" s="1"/>
  <c r="I62" i="4"/>
  <c r="I61" i="4" s="1"/>
  <c r="H62" i="4"/>
  <c r="H61" i="4" s="1"/>
  <c r="J59" i="4"/>
  <c r="J58" i="4" s="1"/>
  <c r="J57" i="4" s="1"/>
  <c r="J56" i="4" s="1"/>
  <c r="I58" i="4"/>
  <c r="I57" i="4" s="1"/>
  <c r="I56" i="4" s="1"/>
  <c r="H58" i="4"/>
  <c r="H57" i="4" s="1"/>
  <c r="H56" i="4" s="1"/>
  <c r="J53" i="4"/>
  <c r="J52" i="4" s="1"/>
  <c r="I53" i="4"/>
  <c r="H53" i="4"/>
  <c r="H52" i="4" s="1"/>
  <c r="I52" i="4"/>
  <c r="J50" i="4"/>
  <c r="J49" i="4" s="1"/>
  <c r="I50" i="4"/>
  <c r="I49" i="4" s="1"/>
  <c r="H50" i="4"/>
  <c r="H49" i="4" s="1"/>
  <c r="J48" i="4"/>
  <c r="J47" i="4" s="1"/>
  <c r="J46" i="4" s="1"/>
  <c r="J45" i="4" s="1"/>
  <c r="I47" i="4"/>
  <c r="I46" i="4" s="1"/>
  <c r="I45" i="4" s="1"/>
  <c r="H47" i="4"/>
  <c r="H46" i="4" s="1"/>
  <c r="H45" i="4" s="1"/>
  <c r="J43" i="4"/>
  <c r="J42" i="4" s="1"/>
  <c r="I43" i="4"/>
  <c r="H43" i="4"/>
  <c r="H42" i="4" s="1"/>
  <c r="I42" i="4"/>
  <c r="J40" i="4"/>
  <c r="J39" i="4" s="1"/>
  <c r="I40" i="4"/>
  <c r="I39" i="4" s="1"/>
  <c r="H40" i="4"/>
  <c r="H39" i="4" s="1"/>
  <c r="J37" i="4"/>
  <c r="J36" i="4" s="1"/>
  <c r="I36" i="4"/>
  <c r="H36" i="4"/>
  <c r="J34" i="4"/>
  <c r="I34" i="4"/>
  <c r="H34" i="4"/>
  <c r="H33" i="4" s="1"/>
  <c r="H32" i="4" s="1"/>
  <c r="J31" i="4"/>
  <c r="J30" i="4" s="1"/>
  <c r="I30" i="4"/>
  <c r="H30" i="4"/>
  <c r="J28" i="4"/>
  <c r="I28" i="4"/>
  <c r="H28" i="4"/>
  <c r="J27" i="4"/>
  <c r="J26" i="4" s="1"/>
  <c r="I26" i="4"/>
  <c r="H26" i="4"/>
  <c r="J25" i="4"/>
  <c r="H24" i="4"/>
  <c r="J24" i="4" s="1"/>
  <c r="J22" i="4"/>
  <c r="I22" i="4"/>
  <c r="H22" i="4"/>
  <c r="J17" i="4"/>
  <c r="I17" i="4"/>
  <c r="H17" i="4"/>
  <c r="J16" i="4"/>
  <c r="J15" i="4" s="1"/>
  <c r="I15" i="4"/>
  <c r="H15" i="4"/>
  <c r="J13" i="4"/>
  <c r="I13" i="4"/>
  <c r="H13" i="4"/>
  <c r="H12" i="4" s="1"/>
  <c r="H11" i="4" s="1"/>
  <c r="H10" i="4" s="1"/>
  <c r="J8" i="4"/>
  <c r="J7" i="4" s="1"/>
  <c r="J6" i="4" s="1"/>
  <c r="I8" i="4"/>
  <c r="H8" i="4"/>
  <c r="H7" i="4" s="1"/>
  <c r="H6" i="4" s="1"/>
  <c r="I7" i="4"/>
  <c r="I6" i="4" s="1"/>
  <c r="J26" i="3"/>
  <c r="J13" i="3"/>
  <c r="J8" i="3"/>
  <c r="J17" i="3"/>
  <c r="N17" i="3" s="1"/>
  <c r="O17" i="3" s="1"/>
  <c r="J338" i="3"/>
  <c r="N338" i="3" s="1"/>
  <c r="O338" i="3" s="1"/>
  <c r="J322" i="3"/>
  <c r="J304" i="3"/>
  <c r="J300" i="3"/>
  <c r="N300" i="3" s="1"/>
  <c r="O300" i="3" s="1"/>
  <c r="J294" i="3"/>
  <c r="J290" i="3"/>
  <c r="N290" i="3" s="1"/>
  <c r="O290" i="3" s="1"/>
  <c r="J275" i="3"/>
  <c r="N275" i="3" s="1"/>
  <c r="O275" i="3" s="1"/>
  <c r="J273" i="3"/>
  <c r="N273" i="3" s="1"/>
  <c r="O273" i="3" s="1"/>
  <c r="J262" i="3"/>
  <c r="J256" i="3"/>
  <c r="N256" i="3" s="1"/>
  <c r="O256" i="3" s="1"/>
  <c r="J209" i="3"/>
  <c r="J205" i="3"/>
  <c r="N203" i="3"/>
  <c r="O203" i="3" s="1"/>
  <c r="J141" i="3"/>
  <c r="N209" i="3"/>
  <c r="O209" i="3" s="1"/>
  <c r="J195" i="3"/>
  <c r="J193" i="3"/>
  <c r="N193" i="3" s="1"/>
  <c r="O193" i="3" s="1"/>
  <c r="J185" i="3"/>
  <c r="J183" i="3"/>
  <c r="N183" i="3" s="1"/>
  <c r="O183" i="3" s="1"/>
  <c r="J177" i="3"/>
  <c r="N177" i="3" s="1"/>
  <c r="O177" i="3" s="1"/>
  <c r="J175" i="3"/>
  <c r="N175" i="3" s="1"/>
  <c r="O175" i="3" s="1"/>
  <c r="J169" i="3"/>
  <c r="N169" i="3" s="1"/>
  <c r="O169" i="3" s="1"/>
  <c r="J167" i="3"/>
  <c r="J163" i="3"/>
  <c r="J161" i="3"/>
  <c r="N161" i="3" s="1"/>
  <c r="O161" i="3" s="1"/>
  <c r="J159" i="3"/>
  <c r="N159" i="3" s="1"/>
  <c r="O159" i="3" s="1"/>
  <c r="J139" i="3"/>
  <c r="J133" i="3"/>
  <c r="N133" i="3" s="1"/>
  <c r="O133" i="3" s="1"/>
  <c r="J121" i="3"/>
  <c r="J99" i="3"/>
  <c r="J78" i="3"/>
  <c r="J97" i="3"/>
  <c r="J58" i="3"/>
  <c r="N58" i="3" s="1"/>
  <c r="O58" i="3" s="1"/>
  <c r="J55" i="3"/>
  <c r="J33" i="3"/>
  <c r="N33" i="3" s="1"/>
  <c r="O33" i="3" s="1"/>
  <c r="J22" i="3"/>
  <c r="N22" i="3" s="1"/>
  <c r="O22" i="3" s="1"/>
  <c r="O386" i="3"/>
  <c r="O132" i="3"/>
  <c r="O14" i="3"/>
  <c r="O15" i="3"/>
  <c r="O16" i="3"/>
  <c r="O18" i="3"/>
  <c r="O19" i="3"/>
  <c r="O20" i="3"/>
  <c r="O21" i="3"/>
  <c r="O23" i="3"/>
  <c r="O24" i="3"/>
  <c r="O25" i="3"/>
  <c r="O26" i="3"/>
  <c r="O27" i="3"/>
  <c r="O28" i="3"/>
  <c r="O29" i="3"/>
  <c r="O30" i="3"/>
  <c r="O31" i="3"/>
  <c r="O32" i="3"/>
  <c r="O34" i="3"/>
  <c r="O35" i="3"/>
  <c r="O36" i="3"/>
  <c r="O37" i="3"/>
  <c r="O38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6" i="3"/>
  <c r="O57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4" i="3"/>
  <c r="O135" i="3"/>
  <c r="O136" i="3"/>
  <c r="O137" i="3"/>
  <c r="O138" i="3"/>
  <c r="O139" i="3"/>
  <c r="O140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62" i="3"/>
  <c r="O163" i="3"/>
  <c r="O164" i="3"/>
  <c r="O165" i="3"/>
  <c r="O170" i="3"/>
  <c r="O171" i="3"/>
  <c r="O172" i="3"/>
  <c r="O173" i="3"/>
  <c r="O178" i="3"/>
  <c r="O179" i="3"/>
  <c r="O180" i="3"/>
  <c r="O181" i="3"/>
  <c r="O182" i="3"/>
  <c r="O184" i="3"/>
  <c r="O186" i="3"/>
  <c r="O187" i="3"/>
  <c r="O188" i="3"/>
  <c r="O189" i="3"/>
  <c r="O190" i="3"/>
  <c r="O192" i="3"/>
  <c r="O194" i="3"/>
  <c r="O196" i="3"/>
  <c r="O197" i="3"/>
  <c r="O198" i="3"/>
  <c r="O199" i="3"/>
  <c r="O200" i="3"/>
  <c r="O201" i="3"/>
  <c r="O202" i="3"/>
  <c r="O204" i="3"/>
  <c r="O205" i="3"/>
  <c r="O206" i="3"/>
  <c r="O207" i="3"/>
  <c r="O208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9" i="3"/>
  <c r="O250" i="3"/>
  <c r="O251" i="3"/>
  <c r="O252" i="3"/>
  <c r="O253" i="3"/>
  <c r="O254" i="3"/>
  <c r="O255" i="3"/>
  <c r="O257" i="3"/>
  <c r="O258" i="3"/>
  <c r="O259" i="3"/>
  <c r="O260" i="3"/>
  <c r="O261" i="3"/>
  <c r="O263" i="3"/>
  <c r="O264" i="3"/>
  <c r="O265" i="3"/>
  <c r="O266" i="3"/>
  <c r="O267" i="3"/>
  <c r="O268" i="3"/>
  <c r="O269" i="3"/>
  <c r="O270" i="3"/>
  <c r="O271" i="3"/>
  <c r="O272" i="3"/>
  <c r="O274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1" i="3"/>
  <c r="O292" i="3"/>
  <c r="O293" i="3"/>
  <c r="O294" i="3"/>
  <c r="O295" i="3"/>
  <c r="O296" i="3"/>
  <c r="O297" i="3"/>
  <c r="O298" i="3"/>
  <c r="O299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N262" i="3"/>
  <c r="O262" i="3" s="1"/>
  <c r="N248" i="3"/>
  <c r="O248" i="3" s="1"/>
  <c r="N167" i="3"/>
  <c r="O167" i="3" s="1"/>
  <c r="N185" i="3"/>
  <c r="O185" i="3" s="1"/>
  <c r="N191" i="3"/>
  <c r="O191" i="3" s="1"/>
  <c r="N195" i="3"/>
  <c r="O195" i="3" s="1"/>
  <c r="N141" i="3"/>
  <c r="O141" i="3" s="1"/>
  <c r="N131" i="3"/>
  <c r="O131" i="3" s="1"/>
  <c r="N78" i="3"/>
  <c r="O78" i="3" s="1"/>
  <c r="N55" i="3"/>
  <c r="O55" i="3" s="1"/>
  <c r="K411" i="3"/>
  <c r="J399" i="4" l="1"/>
  <c r="J400" i="4"/>
  <c r="J21" i="4"/>
  <c r="J20" i="4" s="1"/>
  <c r="J19" i="4" s="1"/>
  <c r="I21" i="4"/>
  <c r="I20" i="4" s="1"/>
  <c r="I19" i="4" s="1"/>
  <c r="I33" i="4"/>
  <c r="I32" i="4" s="1"/>
  <c r="I60" i="4"/>
  <c r="I96" i="4"/>
  <c r="H124" i="4"/>
  <c r="H123" i="4" s="1"/>
  <c r="I124" i="4"/>
  <c r="I123" i="4" s="1"/>
  <c r="J168" i="4"/>
  <c r="H194" i="4"/>
  <c r="H193" i="4" s="1"/>
  <c r="I194" i="4"/>
  <c r="I193" i="4" s="1"/>
  <c r="H262" i="4"/>
  <c r="H261" i="4" s="1"/>
  <c r="J271" i="4"/>
  <c r="I284" i="4"/>
  <c r="I283" i="4" s="1"/>
  <c r="J93" i="4"/>
  <c r="I12" i="4"/>
  <c r="I11" i="4" s="1"/>
  <c r="I10" i="4" s="1"/>
  <c r="H65" i="4"/>
  <c r="H64" i="4" s="1"/>
  <c r="H60" i="4" s="1"/>
  <c r="H55" i="4" s="1"/>
  <c r="H434" i="4" s="1"/>
  <c r="J65" i="4"/>
  <c r="J64" i="4" s="1"/>
  <c r="J60" i="4" s="1"/>
  <c r="J55" i="4" s="1"/>
  <c r="J434" i="4" s="1"/>
  <c r="I73" i="4"/>
  <c r="I72" i="4" s="1"/>
  <c r="I71" i="4" s="1"/>
  <c r="H73" i="4"/>
  <c r="H72" i="4" s="1"/>
  <c r="H71" i="4" s="1"/>
  <c r="J89" i="4"/>
  <c r="H134" i="4"/>
  <c r="H133" i="4" s="1"/>
  <c r="H182" i="4"/>
  <c r="H181" i="4" s="1"/>
  <c r="H180" i="4" s="1"/>
  <c r="H179" i="4" s="1"/>
  <c r="H440" i="4" s="1"/>
  <c r="J182" i="4"/>
  <c r="J181" i="4" s="1"/>
  <c r="J180" i="4" s="1"/>
  <c r="J179" i="4" s="1"/>
  <c r="J440" i="4" s="1"/>
  <c r="H211" i="4"/>
  <c r="H207" i="4" s="1"/>
  <c r="J211" i="4"/>
  <c r="J207" i="4" s="1"/>
  <c r="H218" i="4"/>
  <c r="H217" i="4" s="1"/>
  <c r="H216" i="4" s="1"/>
  <c r="H325" i="4"/>
  <c r="H324" i="4" s="1"/>
  <c r="J325" i="4"/>
  <c r="J324" i="4" s="1"/>
  <c r="H336" i="4"/>
  <c r="J342" i="4"/>
  <c r="J344" i="4"/>
  <c r="I352" i="4"/>
  <c r="J396" i="4"/>
  <c r="J395" i="4" s="1"/>
  <c r="J394" i="4" s="1"/>
  <c r="J393" i="4" s="1"/>
  <c r="J392" i="4" s="1"/>
  <c r="J433" i="4" s="1"/>
  <c r="H154" i="4"/>
  <c r="H38" i="4"/>
  <c r="H350" i="4"/>
  <c r="I351" i="4"/>
  <c r="I350" i="4" s="1"/>
  <c r="I154" i="4"/>
  <c r="I163" i="4"/>
  <c r="I439" i="4" s="1"/>
  <c r="J194" i="4"/>
  <c r="J193" i="4" s="1"/>
  <c r="J189" i="4" s="1"/>
  <c r="J134" i="4"/>
  <c r="J133" i="4" s="1"/>
  <c r="H89" i="4"/>
  <c r="H70" i="4" s="1"/>
  <c r="H435" i="4" s="1"/>
  <c r="J124" i="4"/>
  <c r="J123" i="4" s="1"/>
  <c r="J163" i="4"/>
  <c r="J319" i="4"/>
  <c r="J318" i="4" s="1"/>
  <c r="J336" i="4"/>
  <c r="H163" i="4"/>
  <c r="H439" i="4" s="1"/>
  <c r="J12" i="4"/>
  <c r="J11" i="4" s="1"/>
  <c r="J10" i="4" s="1"/>
  <c r="H21" i="4"/>
  <c r="H20" i="4" s="1"/>
  <c r="H19" i="4" s="1"/>
  <c r="J33" i="4"/>
  <c r="J32" i="4" s="1"/>
  <c r="I38" i="4"/>
  <c r="I5" i="4" s="1"/>
  <c r="I432" i="4" s="1"/>
  <c r="J84" i="4"/>
  <c r="J78" i="4" s="1"/>
  <c r="J70" i="4" s="1"/>
  <c r="J435" i="4" s="1"/>
  <c r="H122" i="4"/>
  <c r="H121" i="4" s="1"/>
  <c r="H438" i="4" s="1"/>
  <c r="J149" i="4"/>
  <c r="J160" i="4"/>
  <c r="J159" i="4" s="1"/>
  <c r="H189" i="4"/>
  <c r="I218" i="4"/>
  <c r="I217" i="4" s="1"/>
  <c r="I262" i="4"/>
  <c r="I261" i="4" s="1"/>
  <c r="J284" i="4"/>
  <c r="J283" i="4" s="1"/>
  <c r="H341" i="4"/>
  <c r="H310" i="4" s="1"/>
  <c r="I341" i="4"/>
  <c r="I310" i="4" s="1"/>
  <c r="J346" i="4"/>
  <c r="J341" i="4" s="1"/>
  <c r="J352" i="4"/>
  <c r="J351" i="4" s="1"/>
  <c r="J371" i="4"/>
  <c r="J368" i="4" s="1"/>
  <c r="J363" i="4" s="1"/>
  <c r="J387" i="4"/>
  <c r="J386" i="4" s="1"/>
  <c r="J385" i="4" s="1"/>
  <c r="J384" i="4" s="1"/>
  <c r="H5" i="4"/>
  <c r="J38" i="4"/>
  <c r="I55" i="4"/>
  <c r="I434" i="4" s="1"/>
  <c r="I79" i="4"/>
  <c r="I78" i="4" s="1"/>
  <c r="I70" i="4" s="1"/>
  <c r="I435" i="4" s="1"/>
  <c r="I84" i="4"/>
  <c r="J112" i="4"/>
  <c r="J111" i="4" s="1"/>
  <c r="I149" i="4"/>
  <c r="I122" i="4" s="1"/>
  <c r="I121" i="4" s="1"/>
  <c r="I438" i="4" s="1"/>
  <c r="I189" i="4"/>
  <c r="J218" i="4"/>
  <c r="J217" i="4" s="1"/>
  <c r="J262" i="4"/>
  <c r="J261" i="4" s="1"/>
  <c r="H112" i="4"/>
  <c r="H111" i="4" s="1"/>
  <c r="J154" i="4"/>
  <c r="H410" i="4"/>
  <c r="H409" i="4" s="1"/>
  <c r="H441" i="4" s="1"/>
  <c r="I410" i="4"/>
  <c r="I409" i="4" s="1"/>
  <c r="I441" i="4" s="1"/>
  <c r="J410" i="4"/>
  <c r="J409" i="4" s="1"/>
  <c r="J441" i="4" s="1"/>
  <c r="J350" i="4" l="1"/>
  <c r="J439" i="4" s="1"/>
  <c r="I216" i="4"/>
  <c r="I188" i="4" s="1"/>
  <c r="J122" i="4"/>
  <c r="J310" i="4"/>
  <c r="J5" i="4"/>
  <c r="J432" i="4" s="1"/>
  <c r="H188" i="4"/>
  <c r="H187" i="4" s="1"/>
  <c r="H383" i="4"/>
  <c r="H432" i="4"/>
  <c r="H4" i="4"/>
  <c r="J383" i="4"/>
  <c r="I383" i="4"/>
  <c r="J121" i="4"/>
  <c r="J438" i="4" s="1"/>
  <c r="J216" i="4"/>
  <c r="J188" i="4" s="1"/>
  <c r="J187" i="4" s="1"/>
  <c r="I4" i="4"/>
  <c r="I187" i="4" l="1"/>
  <c r="I437" i="4"/>
  <c r="I430" i="4" s="1"/>
  <c r="I424" i="4"/>
  <c r="I425" i="4" s="1"/>
  <c r="H437" i="4"/>
  <c r="H430" i="4" s="1"/>
  <c r="H424" i="4"/>
  <c r="J437" i="4"/>
  <c r="J4" i="4"/>
  <c r="J424" i="4" s="1"/>
  <c r="J430" i="4"/>
  <c r="H428" i="4" l="1"/>
  <c r="J329" i="3" l="1"/>
  <c r="J144" i="3"/>
  <c r="J143" i="3" s="1"/>
  <c r="J357" i="3"/>
  <c r="J356" i="3" s="1"/>
  <c r="J410" i="3" l="1"/>
  <c r="G410" i="3"/>
  <c r="J409" i="3"/>
  <c r="I409" i="3"/>
  <c r="H409" i="3"/>
  <c r="G409" i="3"/>
  <c r="J408" i="3"/>
  <c r="I408" i="3"/>
  <c r="H408" i="3"/>
  <c r="G408" i="3"/>
  <c r="J407" i="3"/>
  <c r="I407" i="3"/>
  <c r="H407" i="3"/>
  <c r="G407" i="3"/>
  <c r="J406" i="3"/>
  <c r="I406" i="3"/>
  <c r="H406" i="3"/>
  <c r="G406" i="3"/>
  <c r="J405" i="3"/>
  <c r="G405" i="3"/>
  <c r="J404" i="3"/>
  <c r="I404" i="3"/>
  <c r="H404" i="3"/>
  <c r="G404" i="3"/>
  <c r="J403" i="3"/>
  <c r="I403" i="3"/>
  <c r="H403" i="3"/>
  <c r="G403" i="3"/>
  <c r="J402" i="3"/>
  <c r="I402" i="3"/>
  <c r="H402" i="3"/>
  <c r="G402" i="3"/>
  <c r="J401" i="3"/>
  <c r="G401" i="3"/>
  <c r="J400" i="3"/>
  <c r="I400" i="3"/>
  <c r="H400" i="3"/>
  <c r="G400" i="3"/>
  <c r="J399" i="3"/>
  <c r="I399" i="3"/>
  <c r="H399" i="3"/>
  <c r="G399" i="3"/>
  <c r="J398" i="3"/>
  <c r="I398" i="3"/>
  <c r="H398" i="3"/>
  <c r="G398" i="3"/>
  <c r="J397" i="3"/>
  <c r="I397" i="3"/>
  <c r="H397" i="3"/>
  <c r="G397" i="3"/>
  <c r="J396" i="3"/>
  <c r="I396" i="3"/>
  <c r="H396" i="3"/>
  <c r="G396" i="3"/>
  <c r="J395" i="3"/>
  <c r="G395" i="3"/>
  <c r="J394" i="3"/>
  <c r="I394" i="3"/>
  <c r="H394" i="3"/>
  <c r="G394" i="3"/>
  <c r="J393" i="3"/>
  <c r="G393" i="3"/>
  <c r="J392" i="3"/>
  <c r="I392" i="3"/>
  <c r="H392" i="3"/>
  <c r="G392" i="3"/>
  <c r="J391" i="3"/>
  <c r="I391" i="3"/>
  <c r="H391" i="3"/>
  <c r="G391" i="3"/>
  <c r="J390" i="3"/>
  <c r="I390" i="3"/>
  <c r="H390" i="3"/>
  <c r="G390" i="3"/>
  <c r="J389" i="3"/>
  <c r="I389" i="3"/>
  <c r="H389" i="3"/>
  <c r="G389" i="3"/>
  <c r="J388" i="3"/>
  <c r="I388" i="3"/>
  <c r="H388" i="3"/>
  <c r="G388" i="3"/>
  <c r="G387" i="3"/>
  <c r="G386" i="3" s="1"/>
  <c r="G385" i="3" s="1"/>
  <c r="I386" i="3"/>
  <c r="I385" i="3" s="1"/>
  <c r="I378" i="3" s="1"/>
  <c r="H386" i="3"/>
  <c r="J385" i="3"/>
  <c r="H385" i="3"/>
  <c r="J384" i="3"/>
  <c r="G384" i="3"/>
  <c r="J383" i="3"/>
  <c r="I383" i="3"/>
  <c r="H383" i="3"/>
  <c r="G383" i="3"/>
  <c r="J382" i="3"/>
  <c r="G382" i="3"/>
  <c r="J381" i="3"/>
  <c r="I381" i="3"/>
  <c r="H381" i="3"/>
  <c r="G381" i="3"/>
  <c r="J380" i="3"/>
  <c r="I380" i="3"/>
  <c r="H380" i="3"/>
  <c r="G380" i="3"/>
  <c r="J379" i="3"/>
  <c r="I379" i="3"/>
  <c r="H379" i="3"/>
  <c r="G379" i="3"/>
  <c r="J378" i="3"/>
  <c r="H378" i="3"/>
  <c r="J377" i="3"/>
  <c r="G377" i="3"/>
  <c r="J376" i="3"/>
  <c r="I376" i="3"/>
  <c r="H376" i="3"/>
  <c r="G376" i="3"/>
  <c r="J375" i="3"/>
  <c r="G375" i="3"/>
  <c r="J374" i="3"/>
  <c r="I374" i="3"/>
  <c r="H374" i="3"/>
  <c r="G374" i="3"/>
  <c r="J373" i="3"/>
  <c r="I373" i="3"/>
  <c r="H373" i="3"/>
  <c r="G373" i="3"/>
  <c r="J372" i="3"/>
  <c r="G372" i="3"/>
  <c r="J371" i="3"/>
  <c r="I371" i="3"/>
  <c r="H371" i="3"/>
  <c r="G371" i="3"/>
  <c r="J370" i="3"/>
  <c r="I370" i="3"/>
  <c r="H370" i="3"/>
  <c r="G370" i="3"/>
  <c r="J369" i="3"/>
  <c r="G369" i="3"/>
  <c r="J368" i="3"/>
  <c r="I368" i="3"/>
  <c r="H368" i="3"/>
  <c r="G368" i="3"/>
  <c r="J367" i="3"/>
  <c r="I367" i="3"/>
  <c r="H367" i="3"/>
  <c r="G367" i="3"/>
  <c r="J366" i="3"/>
  <c r="I366" i="3"/>
  <c r="H366" i="3"/>
  <c r="G366" i="3"/>
  <c r="J365" i="3"/>
  <c r="I365" i="3"/>
  <c r="H365" i="3"/>
  <c r="G365" i="3"/>
  <c r="J364" i="3"/>
  <c r="H363" i="3"/>
  <c r="J363" i="3" s="1"/>
  <c r="G363" i="3"/>
  <c r="G362" i="3" s="1"/>
  <c r="G361" i="3" s="1"/>
  <c r="H362" i="3"/>
  <c r="J362" i="3" s="1"/>
  <c r="G360" i="3"/>
  <c r="J359" i="3"/>
  <c r="J355" i="3" s="1"/>
  <c r="I359" i="3"/>
  <c r="H359" i="3"/>
  <c r="H355" i="3" s="1"/>
  <c r="G359" i="3"/>
  <c r="I355" i="3"/>
  <c r="G355" i="3"/>
  <c r="J354" i="3"/>
  <c r="H353" i="3"/>
  <c r="J353" i="3" s="1"/>
  <c r="G353" i="3"/>
  <c r="G352" i="3" s="1"/>
  <c r="G351" i="3" s="1"/>
  <c r="H352" i="3"/>
  <c r="J352" i="3" s="1"/>
  <c r="J350" i="3"/>
  <c r="G350" i="3"/>
  <c r="J349" i="3"/>
  <c r="I349" i="3"/>
  <c r="H349" i="3"/>
  <c r="G349" i="3"/>
  <c r="J348" i="3"/>
  <c r="I348" i="3"/>
  <c r="H348" i="3"/>
  <c r="G348" i="3"/>
  <c r="J347" i="3"/>
  <c r="G347" i="3"/>
  <c r="J346" i="3"/>
  <c r="I346" i="3"/>
  <c r="H346" i="3"/>
  <c r="G346" i="3"/>
  <c r="J345" i="3"/>
  <c r="G345" i="3"/>
  <c r="J344" i="3"/>
  <c r="I344" i="3"/>
  <c r="H344" i="3"/>
  <c r="G344" i="3"/>
  <c r="J343" i="3"/>
  <c r="I343" i="3"/>
  <c r="H343" i="3"/>
  <c r="G343" i="3"/>
  <c r="G339" i="3" s="1"/>
  <c r="J341" i="3"/>
  <c r="J340" i="3" s="1"/>
  <c r="J339" i="3" s="1"/>
  <c r="I341" i="3"/>
  <c r="I340" i="3" s="1"/>
  <c r="H341" i="3"/>
  <c r="G341" i="3"/>
  <c r="G340" i="3" s="1"/>
  <c r="H340" i="3"/>
  <c r="G338" i="3"/>
  <c r="J337" i="3"/>
  <c r="I337" i="3"/>
  <c r="H337" i="3"/>
  <c r="G337" i="3"/>
  <c r="J336" i="3"/>
  <c r="I336" i="3"/>
  <c r="H336" i="3"/>
  <c r="G336" i="3"/>
  <c r="J335" i="3"/>
  <c r="I335" i="3"/>
  <c r="H335" i="3"/>
  <c r="G335" i="3"/>
  <c r="J333" i="3"/>
  <c r="G333" i="3"/>
  <c r="J332" i="3"/>
  <c r="G332" i="3"/>
  <c r="J331" i="3"/>
  <c r="J328" i="3" s="1"/>
  <c r="I331" i="3"/>
  <c r="I328" i="3" s="1"/>
  <c r="H331" i="3"/>
  <c r="G331" i="3"/>
  <c r="H328" i="3"/>
  <c r="J327" i="3"/>
  <c r="G327" i="3"/>
  <c r="J326" i="3"/>
  <c r="I325" i="3"/>
  <c r="I324" i="3" s="1"/>
  <c r="I323" i="3" s="1"/>
  <c r="H325" i="3"/>
  <c r="H324" i="3" s="1"/>
  <c r="H323" i="3" s="1"/>
  <c r="G325" i="3"/>
  <c r="G324" i="3" s="1"/>
  <c r="G323" i="3" s="1"/>
  <c r="G322" i="3"/>
  <c r="J321" i="3"/>
  <c r="I321" i="3"/>
  <c r="H321" i="3"/>
  <c r="G321" i="3"/>
  <c r="J320" i="3"/>
  <c r="I320" i="3"/>
  <c r="H320" i="3"/>
  <c r="G320" i="3"/>
  <c r="J319" i="3"/>
  <c r="I319" i="3"/>
  <c r="H319" i="3"/>
  <c r="G319" i="3"/>
  <c r="J317" i="3"/>
  <c r="G317" i="3"/>
  <c r="J316" i="3"/>
  <c r="I316" i="3"/>
  <c r="H316" i="3"/>
  <c r="G316" i="3"/>
  <c r="J315" i="3"/>
  <c r="G315" i="3"/>
  <c r="J314" i="3"/>
  <c r="I314" i="3"/>
  <c r="H314" i="3"/>
  <c r="G314" i="3"/>
  <c r="J313" i="3"/>
  <c r="I313" i="3"/>
  <c r="H313" i="3"/>
  <c r="G313" i="3"/>
  <c r="J312" i="3"/>
  <c r="G312" i="3"/>
  <c r="J311" i="3"/>
  <c r="I311" i="3"/>
  <c r="H311" i="3"/>
  <c r="G311" i="3"/>
  <c r="J310" i="3"/>
  <c r="I310" i="3"/>
  <c r="H310" i="3"/>
  <c r="G310" i="3"/>
  <c r="J309" i="3"/>
  <c r="I309" i="3"/>
  <c r="H309" i="3"/>
  <c r="G309" i="3"/>
  <c r="J308" i="3"/>
  <c r="G308" i="3"/>
  <c r="J307" i="3"/>
  <c r="I307" i="3"/>
  <c r="H307" i="3"/>
  <c r="G307" i="3"/>
  <c r="J306" i="3"/>
  <c r="G306" i="3"/>
  <c r="J305" i="3"/>
  <c r="I305" i="3"/>
  <c r="H305" i="3"/>
  <c r="G305" i="3"/>
  <c r="G304" i="3"/>
  <c r="J303" i="3"/>
  <c r="I303" i="3"/>
  <c r="H303" i="3"/>
  <c r="G303" i="3"/>
  <c r="J302" i="3"/>
  <c r="G302" i="3"/>
  <c r="J301" i="3"/>
  <c r="I301" i="3"/>
  <c r="H301" i="3"/>
  <c r="G301" i="3"/>
  <c r="G300" i="3"/>
  <c r="J299" i="3"/>
  <c r="I299" i="3"/>
  <c r="H299" i="3"/>
  <c r="H298" i="3" s="1"/>
  <c r="H297" i="3" s="1"/>
  <c r="G299" i="3"/>
  <c r="I298" i="3"/>
  <c r="I297" i="3" s="1"/>
  <c r="G298" i="3"/>
  <c r="G297" i="3" s="1"/>
  <c r="J296" i="3"/>
  <c r="G296" i="3"/>
  <c r="J295" i="3"/>
  <c r="I295" i="3"/>
  <c r="H295" i="3"/>
  <c r="G294" i="3"/>
  <c r="J293" i="3"/>
  <c r="I293" i="3"/>
  <c r="H293" i="3"/>
  <c r="G293" i="3"/>
  <c r="J292" i="3"/>
  <c r="G292" i="3"/>
  <c r="J291" i="3"/>
  <c r="J288" i="3" s="1"/>
  <c r="J287" i="3" s="1"/>
  <c r="I291" i="3"/>
  <c r="H291" i="3"/>
  <c r="G291" i="3"/>
  <c r="G290" i="3"/>
  <c r="J289" i="3"/>
  <c r="I289" i="3"/>
  <c r="H289" i="3"/>
  <c r="G289" i="3"/>
  <c r="G288" i="3"/>
  <c r="G287" i="3" s="1"/>
  <c r="J284" i="3"/>
  <c r="G284" i="3"/>
  <c r="J283" i="3"/>
  <c r="I283" i="3"/>
  <c r="H283" i="3"/>
  <c r="G283" i="3"/>
  <c r="G276" i="3" s="1"/>
  <c r="J282" i="3"/>
  <c r="I281" i="3"/>
  <c r="H281" i="3"/>
  <c r="G281" i="3"/>
  <c r="I280" i="3"/>
  <c r="J280" i="3" s="1"/>
  <c r="I279" i="3"/>
  <c r="H279" i="3"/>
  <c r="G279" i="3"/>
  <c r="I277" i="3"/>
  <c r="H277" i="3"/>
  <c r="J277" i="3" s="1"/>
  <c r="G277" i="3"/>
  <c r="I276" i="3"/>
  <c r="G275" i="3"/>
  <c r="J274" i="3"/>
  <c r="J271" i="3" s="1"/>
  <c r="I274" i="3"/>
  <c r="H274" i="3"/>
  <c r="H271" i="3" s="1"/>
  <c r="G274" i="3"/>
  <c r="G273" i="3"/>
  <c r="J272" i="3"/>
  <c r="I272" i="3"/>
  <c r="H272" i="3"/>
  <c r="G272" i="3"/>
  <c r="I271" i="3"/>
  <c r="J270" i="3"/>
  <c r="G270" i="3"/>
  <c r="J269" i="3"/>
  <c r="I269" i="3"/>
  <c r="H269" i="3"/>
  <c r="G269" i="3"/>
  <c r="J268" i="3"/>
  <c r="I268" i="3"/>
  <c r="H268" i="3"/>
  <c r="G268" i="3"/>
  <c r="J267" i="3"/>
  <c r="I267" i="3"/>
  <c r="H267" i="3"/>
  <c r="G267" i="3"/>
  <c r="J266" i="3"/>
  <c r="G266" i="3"/>
  <c r="J265" i="3"/>
  <c r="I265" i="3"/>
  <c r="H265" i="3"/>
  <c r="G265" i="3"/>
  <c r="J264" i="3"/>
  <c r="G264" i="3"/>
  <c r="J263" i="3"/>
  <c r="J260" i="3" s="1"/>
  <c r="J259" i="3" s="1"/>
  <c r="I263" i="3"/>
  <c r="H263" i="3"/>
  <c r="H260" i="3" s="1"/>
  <c r="H259" i="3" s="1"/>
  <c r="G263" i="3"/>
  <c r="G262" i="3"/>
  <c r="J261" i="3"/>
  <c r="I261" i="3"/>
  <c r="H261" i="3"/>
  <c r="G261" i="3"/>
  <c r="I260" i="3"/>
  <c r="G260" i="3"/>
  <c r="I259" i="3"/>
  <c r="G259" i="3"/>
  <c r="J258" i="3"/>
  <c r="G258" i="3"/>
  <c r="J257" i="3"/>
  <c r="I257" i="3"/>
  <c r="I254" i="3" s="1"/>
  <c r="I253" i="3" s="1"/>
  <c r="H257" i="3"/>
  <c r="G257" i="3"/>
  <c r="G254" i="3" s="1"/>
  <c r="G253" i="3" s="1"/>
  <c r="G256" i="3"/>
  <c r="J255" i="3"/>
  <c r="I255" i="3"/>
  <c r="H255" i="3"/>
  <c r="G255" i="3"/>
  <c r="J254" i="3"/>
  <c r="J253" i="3" s="1"/>
  <c r="H254" i="3"/>
  <c r="H253" i="3" s="1"/>
  <c r="J252" i="3"/>
  <c r="G252" i="3"/>
  <c r="J251" i="3"/>
  <c r="J250" i="3" s="1"/>
  <c r="I251" i="3"/>
  <c r="H251" i="3"/>
  <c r="H250" i="3" s="1"/>
  <c r="I250" i="3"/>
  <c r="H249" i="3"/>
  <c r="J247" i="3" s="1"/>
  <c r="J246" i="3" s="1"/>
  <c r="G249" i="3"/>
  <c r="G248" i="3" s="1"/>
  <c r="G247" i="3" s="1"/>
  <c r="G246" i="3" s="1"/>
  <c r="I248" i="3"/>
  <c r="I247" i="3" s="1"/>
  <c r="I246" i="3" s="1"/>
  <c r="I245" i="3" s="1"/>
  <c r="G244" i="3"/>
  <c r="J243" i="3"/>
  <c r="I243" i="3"/>
  <c r="H243" i="3"/>
  <c r="G243" i="3"/>
  <c r="J242" i="3"/>
  <c r="I242" i="3"/>
  <c r="H242" i="3"/>
  <c r="G242" i="3"/>
  <c r="J241" i="3"/>
  <c r="I241" i="3"/>
  <c r="H241" i="3"/>
  <c r="G241" i="3"/>
  <c r="J240" i="3"/>
  <c r="J239" i="3"/>
  <c r="I239" i="3"/>
  <c r="H239" i="3"/>
  <c r="G239" i="3"/>
  <c r="J238" i="3"/>
  <c r="I238" i="3"/>
  <c r="H238" i="3"/>
  <c r="G238" i="3"/>
  <c r="J237" i="3"/>
  <c r="I237" i="3"/>
  <c r="H237" i="3"/>
  <c r="G237" i="3"/>
  <c r="J236" i="3"/>
  <c r="G236" i="3"/>
  <c r="J235" i="3"/>
  <c r="I235" i="3"/>
  <c r="H235" i="3"/>
  <c r="G235" i="3"/>
  <c r="J234" i="3"/>
  <c r="J233" i="3" s="1"/>
  <c r="G234" i="3"/>
  <c r="G233" i="3" s="1"/>
  <c r="I233" i="3"/>
  <c r="H233" i="3"/>
  <c r="J232" i="3"/>
  <c r="G232" i="3"/>
  <c r="G231" i="3" s="1"/>
  <c r="I231" i="3"/>
  <c r="H231" i="3"/>
  <c r="I230" i="3"/>
  <c r="I229" i="3" s="1"/>
  <c r="J228" i="3"/>
  <c r="G228" i="3"/>
  <c r="J227" i="3"/>
  <c r="I227" i="3"/>
  <c r="H227" i="3"/>
  <c r="G227" i="3"/>
  <c r="J226" i="3"/>
  <c r="I226" i="3"/>
  <c r="H226" i="3"/>
  <c r="G226" i="3"/>
  <c r="J225" i="3"/>
  <c r="G225" i="3"/>
  <c r="J224" i="3"/>
  <c r="I224" i="3"/>
  <c r="H224" i="3"/>
  <c r="J223" i="3"/>
  <c r="G223" i="3"/>
  <c r="J222" i="3"/>
  <c r="I222" i="3"/>
  <c r="H222" i="3"/>
  <c r="J221" i="3"/>
  <c r="G221" i="3"/>
  <c r="J220" i="3"/>
  <c r="I220" i="3"/>
  <c r="H220" i="3"/>
  <c r="J219" i="3"/>
  <c r="G219" i="3"/>
  <c r="J218" i="3"/>
  <c r="I218" i="3"/>
  <c r="H218" i="3"/>
  <c r="J217" i="3"/>
  <c r="G217" i="3"/>
  <c r="J216" i="3"/>
  <c r="J215" i="3" s="1"/>
  <c r="J214" i="3" s="1"/>
  <c r="I216" i="3"/>
  <c r="H216" i="3"/>
  <c r="J213" i="3"/>
  <c r="G213" i="3"/>
  <c r="J212" i="3"/>
  <c r="I212" i="3"/>
  <c r="H212" i="3"/>
  <c r="G212" i="3"/>
  <c r="J211" i="3"/>
  <c r="G211" i="3"/>
  <c r="J210" i="3"/>
  <c r="I210" i="3"/>
  <c r="H210" i="3"/>
  <c r="G210" i="3"/>
  <c r="G209" i="3"/>
  <c r="J208" i="3"/>
  <c r="I208" i="3"/>
  <c r="H208" i="3"/>
  <c r="G208" i="3"/>
  <c r="J207" i="3"/>
  <c r="G207" i="3"/>
  <c r="J206" i="3"/>
  <c r="I206" i="3"/>
  <c r="H206" i="3"/>
  <c r="G206" i="3"/>
  <c r="G205" i="3"/>
  <c r="J204" i="3"/>
  <c r="I204" i="3"/>
  <c r="H204" i="3"/>
  <c r="G204" i="3"/>
  <c r="G203" i="3"/>
  <c r="J202" i="3"/>
  <c r="I202" i="3"/>
  <c r="I201" i="3" s="1"/>
  <c r="I200" i="3" s="1"/>
  <c r="H202" i="3"/>
  <c r="G202" i="3"/>
  <c r="H201" i="3"/>
  <c r="H200" i="3" s="1"/>
  <c r="J199" i="3"/>
  <c r="G199" i="3"/>
  <c r="J198" i="3"/>
  <c r="I198" i="3"/>
  <c r="H198" i="3"/>
  <c r="G198" i="3"/>
  <c r="J197" i="3"/>
  <c r="G197" i="3"/>
  <c r="J196" i="3"/>
  <c r="I196" i="3"/>
  <c r="H196" i="3"/>
  <c r="G196" i="3"/>
  <c r="G195" i="3"/>
  <c r="J194" i="3"/>
  <c r="I194" i="3"/>
  <c r="H194" i="3"/>
  <c r="G194" i="3"/>
  <c r="G193" i="3"/>
  <c r="J192" i="3"/>
  <c r="I192" i="3"/>
  <c r="H192" i="3"/>
  <c r="G192" i="3"/>
  <c r="G191" i="3"/>
  <c r="J190" i="3"/>
  <c r="I190" i="3"/>
  <c r="H190" i="3"/>
  <c r="G190" i="3"/>
  <c r="J189" i="3"/>
  <c r="G189" i="3"/>
  <c r="J188" i="3"/>
  <c r="I188" i="3"/>
  <c r="H188" i="3"/>
  <c r="G188" i="3"/>
  <c r="J187" i="3"/>
  <c r="G187" i="3"/>
  <c r="J186" i="3"/>
  <c r="I186" i="3"/>
  <c r="H186" i="3"/>
  <c r="G186" i="3"/>
  <c r="G185" i="3"/>
  <c r="J184" i="3"/>
  <c r="I184" i="3"/>
  <c r="H184" i="3"/>
  <c r="G184" i="3"/>
  <c r="G183" i="3"/>
  <c r="J182" i="3"/>
  <c r="I182" i="3"/>
  <c r="H182" i="3"/>
  <c r="G182" i="3"/>
  <c r="J181" i="3"/>
  <c r="G181" i="3"/>
  <c r="J180" i="3"/>
  <c r="I180" i="3"/>
  <c r="H180" i="3"/>
  <c r="G180" i="3"/>
  <c r="J179" i="3"/>
  <c r="G179" i="3"/>
  <c r="J178" i="3"/>
  <c r="I178" i="3"/>
  <c r="H178" i="3"/>
  <c r="G178" i="3"/>
  <c r="G177" i="3"/>
  <c r="J176" i="3"/>
  <c r="I176" i="3"/>
  <c r="H176" i="3"/>
  <c r="G176" i="3"/>
  <c r="G175" i="3"/>
  <c r="J174" i="3"/>
  <c r="I174" i="3"/>
  <c r="H174" i="3"/>
  <c r="G174" i="3"/>
  <c r="J173" i="3"/>
  <c r="G173" i="3"/>
  <c r="J172" i="3"/>
  <c r="I172" i="3"/>
  <c r="H172" i="3"/>
  <c r="G172" i="3"/>
  <c r="J171" i="3"/>
  <c r="G171" i="3"/>
  <c r="J170" i="3"/>
  <c r="I170" i="3"/>
  <c r="H170" i="3"/>
  <c r="G170" i="3"/>
  <c r="G169" i="3"/>
  <c r="J168" i="3"/>
  <c r="I168" i="3"/>
  <c r="H168" i="3"/>
  <c r="G168" i="3"/>
  <c r="G167" i="3"/>
  <c r="J166" i="3"/>
  <c r="I166" i="3"/>
  <c r="H166" i="3"/>
  <c r="G166" i="3"/>
  <c r="J165" i="3"/>
  <c r="G165" i="3"/>
  <c r="J164" i="3"/>
  <c r="I164" i="3"/>
  <c r="H164" i="3"/>
  <c r="G164" i="3"/>
  <c r="G163" i="3"/>
  <c r="J162" i="3"/>
  <c r="I162" i="3"/>
  <c r="H162" i="3"/>
  <c r="G162" i="3"/>
  <c r="G161" i="3"/>
  <c r="J160" i="3"/>
  <c r="I160" i="3"/>
  <c r="H160" i="3"/>
  <c r="G160" i="3"/>
  <c r="G159" i="3"/>
  <c r="J158" i="3"/>
  <c r="I158" i="3"/>
  <c r="H158" i="3"/>
  <c r="H157" i="3" s="1"/>
  <c r="H156" i="3" s="1"/>
  <c r="G158" i="3"/>
  <c r="I157" i="3"/>
  <c r="I156" i="3"/>
  <c r="G155" i="3"/>
  <c r="J154" i="3"/>
  <c r="I154" i="3"/>
  <c r="H154" i="3"/>
  <c r="G154" i="3"/>
  <c r="J153" i="3"/>
  <c r="I153" i="3"/>
  <c r="H153" i="3"/>
  <c r="G153" i="3"/>
  <c r="J152" i="3"/>
  <c r="I152" i="3"/>
  <c r="H152" i="3"/>
  <c r="G152" i="3"/>
  <c r="J150" i="3"/>
  <c r="G150" i="3"/>
  <c r="J149" i="3"/>
  <c r="I149" i="3"/>
  <c r="H149" i="3"/>
  <c r="G149" i="3"/>
  <c r="J148" i="3"/>
  <c r="G148" i="3"/>
  <c r="J147" i="3"/>
  <c r="I147" i="3"/>
  <c r="H147" i="3"/>
  <c r="G147" i="3"/>
  <c r="J146" i="3"/>
  <c r="J142" i="3" s="1"/>
  <c r="I146" i="3"/>
  <c r="I142" i="3" s="1"/>
  <c r="H146" i="3"/>
  <c r="G146" i="3"/>
  <c r="G142" i="3" s="1"/>
  <c r="H142" i="3"/>
  <c r="J140" i="3"/>
  <c r="I140" i="3"/>
  <c r="H140" i="3"/>
  <c r="G140" i="3"/>
  <c r="G139" i="3"/>
  <c r="J138" i="3"/>
  <c r="I138" i="3"/>
  <c r="H138" i="3"/>
  <c r="G138" i="3"/>
  <c r="J137" i="3"/>
  <c r="G137" i="3"/>
  <c r="J136" i="3"/>
  <c r="I136" i="3"/>
  <c r="H136" i="3"/>
  <c r="G136" i="3"/>
  <c r="J135" i="3"/>
  <c r="G135" i="3"/>
  <c r="J134" i="3"/>
  <c r="I134" i="3"/>
  <c r="H134" i="3"/>
  <c r="G134" i="3"/>
  <c r="G133" i="3"/>
  <c r="J132" i="3"/>
  <c r="I132" i="3"/>
  <c r="H132" i="3"/>
  <c r="G132" i="3"/>
  <c r="G131" i="3"/>
  <c r="J130" i="3"/>
  <c r="I130" i="3"/>
  <c r="H130" i="3"/>
  <c r="H129" i="3" s="1"/>
  <c r="H128" i="3" s="1"/>
  <c r="G130" i="3"/>
  <c r="I129" i="3"/>
  <c r="I128" i="3"/>
  <c r="J127" i="3"/>
  <c r="J126" i="3" s="1"/>
  <c r="J125" i="3" s="1"/>
  <c r="I126" i="3"/>
  <c r="I125" i="3" s="1"/>
  <c r="H126" i="3"/>
  <c r="G126" i="3"/>
  <c r="H125" i="3"/>
  <c r="J122" i="3"/>
  <c r="G121" i="3"/>
  <c r="J120" i="3"/>
  <c r="I120" i="3"/>
  <c r="H120" i="3"/>
  <c r="G120" i="3"/>
  <c r="J119" i="3"/>
  <c r="I119" i="3"/>
  <c r="H119" i="3"/>
  <c r="G119" i="3"/>
  <c r="J118" i="3"/>
  <c r="I118" i="3"/>
  <c r="H118" i="3"/>
  <c r="G118" i="3"/>
  <c r="J117" i="3"/>
  <c r="I117" i="3"/>
  <c r="H117" i="3"/>
  <c r="G117" i="3"/>
  <c r="J116" i="3"/>
  <c r="G116" i="3"/>
  <c r="J115" i="3"/>
  <c r="I115" i="3"/>
  <c r="H115" i="3"/>
  <c r="G115" i="3"/>
  <c r="J114" i="3"/>
  <c r="I114" i="3"/>
  <c r="H114" i="3"/>
  <c r="G114" i="3"/>
  <c r="J113" i="3"/>
  <c r="I113" i="3"/>
  <c r="H113" i="3"/>
  <c r="G113" i="3"/>
  <c r="J112" i="3"/>
  <c r="I112" i="3"/>
  <c r="H112" i="3"/>
  <c r="G112" i="3"/>
  <c r="J111" i="3"/>
  <c r="J110" i="3" s="1"/>
  <c r="J109" i="3" s="1"/>
  <c r="I110" i="3"/>
  <c r="I109" i="3" s="1"/>
  <c r="H110" i="3"/>
  <c r="G110" i="3"/>
  <c r="H109" i="3"/>
  <c r="G109" i="3"/>
  <c r="I108" i="3"/>
  <c r="G108" i="3"/>
  <c r="H107" i="3"/>
  <c r="J106" i="3"/>
  <c r="G106" i="3"/>
  <c r="J105" i="3"/>
  <c r="I105" i="3"/>
  <c r="H105" i="3"/>
  <c r="H104" i="3" s="1"/>
  <c r="J103" i="3"/>
  <c r="J102" i="3" s="1"/>
  <c r="J101" i="3" s="1"/>
  <c r="I102" i="3"/>
  <c r="I101" i="3" s="1"/>
  <c r="H102" i="3"/>
  <c r="G102" i="3"/>
  <c r="G101" i="3" s="1"/>
  <c r="H101" i="3"/>
  <c r="G99" i="3"/>
  <c r="J98" i="3"/>
  <c r="J95" i="3" s="1"/>
  <c r="I98" i="3"/>
  <c r="H98" i="3"/>
  <c r="G98" i="3"/>
  <c r="G97" i="3"/>
  <c r="J96" i="3"/>
  <c r="I96" i="3"/>
  <c r="I95" i="3" s="1"/>
  <c r="H96" i="3"/>
  <c r="G96" i="3"/>
  <c r="H95" i="3"/>
  <c r="I94" i="3"/>
  <c r="J94" i="3" s="1"/>
  <c r="J93" i="3" s="1"/>
  <c r="H93" i="3"/>
  <c r="G93" i="3"/>
  <c r="G90" i="3" s="1"/>
  <c r="J92" i="3"/>
  <c r="J91" i="3" s="1"/>
  <c r="I91" i="3"/>
  <c r="H91" i="3"/>
  <c r="G91" i="3"/>
  <c r="J87" i="3"/>
  <c r="I87" i="3"/>
  <c r="H87" i="3"/>
  <c r="G87" i="3"/>
  <c r="J85" i="3"/>
  <c r="I85" i="3"/>
  <c r="H85" i="3"/>
  <c r="G85" i="3"/>
  <c r="J84" i="3"/>
  <c r="I84" i="3"/>
  <c r="H84" i="3"/>
  <c r="G84" i="3"/>
  <c r="J83" i="3"/>
  <c r="I83" i="3"/>
  <c r="H83" i="3"/>
  <c r="G83" i="3"/>
  <c r="J82" i="3"/>
  <c r="I82" i="3"/>
  <c r="H82" i="3"/>
  <c r="G82" i="3"/>
  <c r="J80" i="3"/>
  <c r="G80" i="3"/>
  <c r="J79" i="3"/>
  <c r="I79" i="3"/>
  <c r="H79" i="3"/>
  <c r="G78" i="3"/>
  <c r="G76" i="3" s="1"/>
  <c r="G75" i="3" s="1"/>
  <c r="J77" i="3"/>
  <c r="J76" i="3" s="1"/>
  <c r="J75" i="3" s="1"/>
  <c r="J71" i="3" s="1"/>
  <c r="I77" i="3"/>
  <c r="I76" i="3" s="1"/>
  <c r="I75" i="3" s="1"/>
  <c r="H77" i="3"/>
  <c r="J73" i="3"/>
  <c r="I73" i="3"/>
  <c r="H73" i="3"/>
  <c r="G73" i="3"/>
  <c r="J72" i="3"/>
  <c r="I72" i="3"/>
  <c r="H72" i="3"/>
  <c r="G72" i="3"/>
  <c r="J70" i="3"/>
  <c r="G70" i="3"/>
  <c r="J69" i="3"/>
  <c r="I69" i="3"/>
  <c r="H69" i="3"/>
  <c r="G69" i="3"/>
  <c r="G68" i="3" s="1"/>
  <c r="G67" i="3" s="1"/>
  <c r="J68" i="3"/>
  <c r="I68" i="3"/>
  <c r="I67" i="3" s="1"/>
  <c r="H68" i="3"/>
  <c r="J67" i="3"/>
  <c r="H67" i="3"/>
  <c r="J65" i="3"/>
  <c r="G65" i="3"/>
  <c r="G63" i="3" s="1"/>
  <c r="G62" i="3" s="1"/>
  <c r="G61" i="3" s="1"/>
  <c r="G60" i="3" s="1"/>
  <c r="G59" i="3" s="1"/>
  <c r="J64" i="3"/>
  <c r="J63" i="3"/>
  <c r="J62" i="3" s="1"/>
  <c r="J61" i="3" s="1"/>
  <c r="J60" i="3" s="1"/>
  <c r="J59" i="3" s="1"/>
  <c r="I63" i="3"/>
  <c r="H63" i="3"/>
  <c r="H62" i="3" s="1"/>
  <c r="H61" i="3" s="1"/>
  <c r="H60" i="3" s="1"/>
  <c r="H59" i="3" s="1"/>
  <c r="I62" i="3"/>
  <c r="I61" i="3" s="1"/>
  <c r="I60" i="3" s="1"/>
  <c r="I59" i="3" s="1"/>
  <c r="G58" i="3"/>
  <c r="J57" i="3"/>
  <c r="I57" i="3"/>
  <c r="H57" i="3"/>
  <c r="G57" i="3"/>
  <c r="J56" i="3"/>
  <c r="I56" i="3"/>
  <c r="H56" i="3"/>
  <c r="G56" i="3"/>
  <c r="G55" i="3"/>
  <c r="J54" i="3"/>
  <c r="I54" i="3"/>
  <c r="H54" i="3"/>
  <c r="G54" i="3"/>
  <c r="J53" i="3"/>
  <c r="I53" i="3"/>
  <c r="H53" i="3"/>
  <c r="G53" i="3"/>
  <c r="J52" i="3"/>
  <c r="G52" i="3"/>
  <c r="J51" i="3"/>
  <c r="I51" i="3"/>
  <c r="H51" i="3"/>
  <c r="G51" i="3"/>
  <c r="J50" i="3"/>
  <c r="I50" i="3"/>
  <c r="H50" i="3"/>
  <c r="G50" i="3"/>
  <c r="J49" i="3"/>
  <c r="I49" i="3"/>
  <c r="H49" i="3"/>
  <c r="G49" i="3"/>
  <c r="J48" i="3"/>
  <c r="J47" i="3" s="1"/>
  <c r="J46" i="3" s="1"/>
  <c r="I47" i="3"/>
  <c r="I46" i="3" s="1"/>
  <c r="H47" i="3"/>
  <c r="G47" i="3"/>
  <c r="G46" i="3" s="1"/>
  <c r="H46" i="3"/>
  <c r="G45" i="3"/>
  <c r="J44" i="3"/>
  <c r="I44" i="3"/>
  <c r="H44" i="3"/>
  <c r="G44" i="3"/>
  <c r="J43" i="3"/>
  <c r="I43" i="3"/>
  <c r="H43" i="3"/>
  <c r="G43" i="3"/>
  <c r="J41" i="3"/>
  <c r="G41" i="3"/>
  <c r="J40" i="3"/>
  <c r="J37" i="3" s="1"/>
  <c r="J36" i="3" s="1"/>
  <c r="I40" i="3"/>
  <c r="H40" i="3"/>
  <c r="H37" i="3" s="1"/>
  <c r="H36" i="3" s="1"/>
  <c r="G40" i="3"/>
  <c r="G39" i="3"/>
  <c r="J38" i="3"/>
  <c r="I38" i="3"/>
  <c r="H38" i="3"/>
  <c r="G38" i="3"/>
  <c r="I37" i="3"/>
  <c r="I36" i="3" s="1"/>
  <c r="J35" i="3"/>
  <c r="G35" i="3"/>
  <c r="G34" i="3" s="1"/>
  <c r="J34" i="3"/>
  <c r="I34" i="3"/>
  <c r="I31" i="3" s="1"/>
  <c r="I30" i="3" s="1"/>
  <c r="I29" i="3" s="1"/>
  <c r="H34" i="3"/>
  <c r="G33" i="3"/>
  <c r="J32" i="3"/>
  <c r="I32" i="3"/>
  <c r="H32" i="3"/>
  <c r="G32" i="3"/>
  <c r="J31" i="3"/>
  <c r="J30" i="3" s="1"/>
  <c r="J29" i="3" s="1"/>
  <c r="H31" i="3"/>
  <c r="H30" i="3" s="1"/>
  <c r="H29" i="3" s="1"/>
  <c r="J28" i="3"/>
  <c r="G28" i="3"/>
  <c r="J27" i="3"/>
  <c r="I27" i="3"/>
  <c r="H27" i="3"/>
  <c r="G27" i="3"/>
  <c r="G26" i="3"/>
  <c r="J25" i="3"/>
  <c r="I25" i="3"/>
  <c r="H25" i="3"/>
  <c r="G25" i="3"/>
  <c r="J24" i="3"/>
  <c r="G24" i="3"/>
  <c r="J23" i="3"/>
  <c r="I23" i="3"/>
  <c r="H23" i="3"/>
  <c r="G23" i="3"/>
  <c r="G22" i="3"/>
  <c r="J21" i="3"/>
  <c r="I21" i="3"/>
  <c r="I20" i="3" s="1"/>
  <c r="I19" i="3" s="1"/>
  <c r="I18" i="3" s="1"/>
  <c r="H21" i="3"/>
  <c r="G21" i="3"/>
  <c r="G20" i="3" s="1"/>
  <c r="G19" i="3" s="1"/>
  <c r="G18" i="3" s="1"/>
  <c r="H20" i="3"/>
  <c r="H19" i="3"/>
  <c r="H18" i="3"/>
  <c r="G17" i="3"/>
  <c r="J16" i="3"/>
  <c r="I16" i="3"/>
  <c r="H16" i="3"/>
  <c r="G16" i="3"/>
  <c r="J15" i="3"/>
  <c r="G15" i="3"/>
  <c r="J14" i="3"/>
  <c r="I14" i="3"/>
  <c r="H14" i="3"/>
  <c r="G14" i="3"/>
  <c r="G13" i="3"/>
  <c r="G12" i="3" s="1"/>
  <c r="I12" i="3"/>
  <c r="H12" i="3"/>
  <c r="I11" i="3"/>
  <c r="H11" i="3"/>
  <c r="H10" i="3" s="1"/>
  <c r="H9" i="3" s="1"/>
  <c r="I10" i="3"/>
  <c r="I9" i="3"/>
  <c r="G8" i="3"/>
  <c r="J7" i="3"/>
  <c r="J6" i="3" s="1"/>
  <c r="J5" i="3" s="1"/>
  <c r="I7" i="3"/>
  <c r="H7" i="3"/>
  <c r="G7" i="3"/>
  <c r="G6" i="3" s="1"/>
  <c r="G5" i="3" s="1"/>
  <c r="I6" i="3"/>
  <c r="H6" i="3"/>
  <c r="I5" i="3"/>
  <c r="H5" i="3"/>
  <c r="G95" i="3" l="1"/>
  <c r="G89" i="3" s="1"/>
  <c r="J20" i="3"/>
  <c r="J19" i="3" s="1"/>
  <c r="J18" i="3" s="1"/>
  <c r="I215" i="3"/>
  <c r="I214" i="3" s="1"/>
  <c r="H215" i="3"/>
  <c r="H214" i="3" s="1"/>
  <c r="H288" i="3"/>
  <c r="H287" i="3" s="1"/>
  <c r="H286" i="3" s="1"/>
  <c r="I288" i="3"/>
  <c r="I287" i="3" s="1"/>
  <c r="I286" i="3" s="1"/>
  <c r="J298" i="3"/>
  <c r="J297" i="3" s="1"/>
  <c r="H339" i="3"/>
  <c r="H334" i="3" s="1"/>
  <c r="J66" i="3"/>
  <c r="H76" i="3"/>
  <c r="H75" i="3" s="1"/>
  <c r="H71" i="3" s="1"/>
  <c r="H66" i="3" s="1"/>
  <c r="H90" i="3"/>
  <c r="H89" i="3" s="1"/>
  <c r="I151" i="3"/>
  <c r="G11" i="3"/>
  <c r="G10" i="3" s="1"/>
  <c r="G9" i="3" s="1"/>
  <c r="G37" i="3"/>
  <c r="G36" i="3" s="1"/>
  <c r="G129" i="3"/>
  <c r="G128" i="3" s="1"/>
  <c r="G125" i="3" s="1"/>
  <c r="J201" i="3"/>
  <c r="J200" i="3" s="1"/>
  <c r="J157" i="3"/>
  <c r="J156" i="3" s="1"/>
  <c r="G31" i="3"/>
  <c r="G30" i="3" s="1"/>
  <c r="G29" i="3" s="1"/>
  <c r="G157" i="3"/>
  <c r="G156" i="3" s="1"/>
  <c r="G151" i="3" s="1"/>
  <c r="G378" i="3"/>
  <c r="G230" i="3"/>
  <c r="G229" i="3" s="1"/>
  <c r="G200" i="3"/>
  <c r="J286" i="3"/>
  <c r="J129" i="3"/>
  <c r="J128" i="3" s="1"/>
  <c r="J124" i="3" s="1"/>
  <c r="I318" i="3"/>
  <c r="I42" i="3"/>
  <c r="I4" i="3" s="1"/>
  <c r="G42" i="3"/>
  <c r="G4" i="3" s="1"/>
  <c r="I71" i="3"/>
  <c r="I66" i="3" s="1"/>
  <c r="G71" i="3"/>
  <c r="G66" i="3" s="1"/>
  <c r="G81" i="3"/>
  <c r="H100" i="3"/>
  <c r="H81" i="3" s="1"/>
  <c r="G104" i="3"/>
  <c r="G100" i="3" s="1"/>
  <c r="G124" i="3"/>
  <c r="I285" i="3"/>
  <c r="J334" i="3"/>
  <c r="J42" i="3"/>
  <c r="H42" i="3"/>
  <c r="H4" i="3" s="1"/>
  <c r="J90" i="3"/>
  <c r="J89" i="3" s="1"/>
  <c r="I124" i="3"/>
  <c r="I123" i="3" s="1"/>
  <c r="H248" i="3"/>
  <c r="H247" i="3" s="1"/>
  <c r="H246" i="3" s="1"/>
  <c r="G245" i="3"/>
  <c r="J279" i="3"/>
  <c r="J281" i="3"/>
  <c r="H276" i="3"/>
  <c r="H245" i="3" s="1"/>
  <c r="G318" i="3"/>
  <c r="H318" i="3"/>
  <c r="H285" i="3" s="1"/>
  <c r="G334" i="3"/>
  <c r="G328" i="3" s="1"/>
  <c r="I339" i="3"/>
  <c r="I334" i="3" s="1"/>
  <c r="H124" i="3"/>
  <c r="J231" i="3"/>
  <c r="H230" i="3"/>
  <c r="H229" i="3" s="1"/>
  <c r="J325" i="3"/>
  <c r="J324" i="3" s="1"/>
  <c r="J323" i="3" s="1"/>
  <c r="J318" i="3" s="1"/>
  <c r="J285" i="3" s="1"/>
  <c r="G286" i="3"/>
  <c r="J108" i="3"/>
  <c r="J107" i="3" s="1"/>
  <c r="J104" i="3" s="1"/>
  <c r="J100" i="3" s="1"/>
  <c r="J81" i="3" s="1"/>
  <c r="I107" i="3"/>
  <c r="I104" i="3" s="1"/>
  <c r="I100" i="3" s="1"/>
  <c r="I93" i="3"/>
  <c r="I90" i="3" s="1"/>
  <c r="I89" i="3" s="1"/>
  <c r="H151" i="3"/>
  <c r="J230" i="3"/>
  <c r="J276" i="3"/>
  <c r="J245" i="3" s="1"/>
  <c r="H351" i="3"/>
  <c r="J351" i="3" s="1"/>
  <c r="H361" i="3"/>
  <c r="J361" i="3" s="1"/>
  <c r="E135" i="2"/>
  <c r="E133" i="2"/>
  <c r="E132" i="2" s="1"/>
  <c r="G123" i="3" l="1"/>
  <c r="H123" i="3"/>
  <c r="G285" i="3"/>
  <c r="G411" i="3" s="1"/>
  <c r="H411" i="3"/>
  <c r="I81" i="3"/>
  <c r="I411" i="3" s="1"/>
  <c r="J229" i="3"/>
  <c r="J151" i="3" s="1"/>
  <c r="J123" i="3" s="1"/>
  <c r="E81" i="2"/>
  <c r="C84" i="2"/>
  <c r="C83" i="2" s="1"/>
  <c r="C82" i="2" s="1"/>
  <c r="C81" i="2" s="1"/>
  <c r="D84" i="2"/>
  <c r="D83" i="2" s="1"/>
  <c r="D82" i="2" s="1"/>
  <c r="D81" i="2" s="1"/>
  <c r="E22" i="2" l="1"/>
  <c r="E53" i="2"/>
  <c r="E52" i="2" s="1"/>
  <c r="E19" i="2"/>
  <c r="E18" i="2" s="1"/>
  <c r="E131" i="2"/>
  <c r="E130" i="2" s="1"/>
  <c r="E129" i="2" s="1"/>
  <c r="D130" i="2"/>
  <c r="D129" i="2" s="1"/>
  <c r="C130" i="2"/>
  <c r="C129" i="2" s="1"/>
  <c r="E127" i="2"/>
  <c r="E126" i="2" s="1"/>
  <c r="D127" i="2"/>
  <c r="C127" i="2"/>
  <c r="C126" i="2" s="1"/>
  <c r="D126" i="2"/>
  <c r="E125" i="2"/>
  <c r="D124" i="2"/>
  <c r="C124" i="2"/>
  <c r="E121" i="2"/>
  <c r="E120" i="2" s="1"/>
  <c r="D121" i="2"/>
  <c r="C121" i="2"/>
  <c r="C120" i="2" s="1"/>
  <c r="D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C108" i="2" s="1"/>
  <c r="D108" i="2"/>
  <c r="E107" i="2"/>
  <c r="D106" i="2"/>
  <c r="C106" i="2"/>
  <c r="E105" i="2"/>
  <c r="D104" i="2"/>
  <c r="C104" i="2"/>
  <c r="D102" i="2"/>
  <c r="C102" i="2"/>
  <c r="E101" i="2"/>
  <c r="D100" i="2"/>
  <c r="C100" i="2"/>
  <c r="E92" i="2"/>
  <c r="E89" i="2" s="1"/>
  <c r="E88" i="2" s="1"/>
  <c r="D89" i="2"/>
  <c r="C89" i="2"/>
  <c r="C88" i="2" s="1"/>
  <c r="D88" i="2"/>
  <c r="E86" i="2"/>
  <c r="E85" i="2"/>
  <c r="E84" i="2" s="1"/>
  <c r="E83" i="2" s="1"/>
  <c r="E78" i="2"/>
  <c r="E76" i="2"/>
  <c r="D76" i="2"/>
  <c r="C76" i="2"/>
  <c r="E75" i="2"/>
  <c r="E74" i="2" s="1"/>
  <c r="D74" i="2"/>
  <c r="C74" i="2"/>
  <c r="D69" i="2"/>
  <c r="C69" i="2"/>
  <c r="E66" i="2"/>
  <c r="D65" i="2"/>
  <c r="C65" i="2"/>
  <c r="D60" i="2"/>
  <c r="C60" i="2"/>
  <c r="E57" i="2"/>
  <c r="E56" i="2" s="1"/>
  <c r="E55" i="2" s="1"/>
  <c r="D57" i="2"/>
  <c r="C57" i="2"/>
  <c r="C56" i="2" s="1"/>
  <c r="C55" i="2" s="1"/>
  <c r="D56" i="2"/>
  <c r="D55" i="2" s="1"/>
  <c r="C51" i="2"/>
  <c r="D50" i="2"/>
  <c r="C49" i="2"/>
  <c r="E48" i="2" s="1"/>
  <c r="E47" i="2" s="1"/>
  <c r="D48" i="2"/>
  <c r="D47" i="2" s="1"/>
  <c r="D45" i="2"/>
  <c r="D44" i="2" s="1"/>
  <c r="C45" i="2"/>
  <c r="C44" i="2" s="1"/>
  <c r="E42" i="2"/>
  <c r="D42" i="2"/>
  <c r="C42" i="2"/>
  <c r="E40" i="2"/>
  <c r="D40" i="2"/>
  <c r="C40" i="2"/>
  <c r="E36" i="2"/>
  <c r="D36" i="2"/>
  <c r="C36" i="2"/>
  <c r="E34" i="2"/>
  <c r="D34" i="2"/>
  <c r="C34" i="2"/>
  <c r="E30" i="2"/>
  <c r="D30" i="2"/>
  <c r="C30" i="2"/>
  <c r="E27" i="2"/>
  <c r="D27" i="2"/>
  <c r="C27" i="2"/>
  <c r="E24" i="2"/>
  <c r="D24" i="2"/>
  <c r="C24" i="2"/>
  <c r="D21" i="2"/>
  <c r="C21" i="2"/>
  <c r="D18" i="2"/>
  <c r="D17" i="2" s="1"/>
  <c r="C18" i="2"/>
  <c r="C17" i="2" s="1"/>
  <c r="D10" i="2"/>
  <c r="C10" i="2"/>
  <c r="C8" i="2" s="1"/>
  <c r="C7" i="2" s="1"/>
  <c r="D8" i="2"/>
  <c r="D7" i="2" s="1"/>
  <c r="E80" i="2" l="1"/>
  <c r="E109" i="2"/>
  <c r="E108" i="2" s="1"/>
  <c r="D39" i="2"/>
  <c r="C33" i="2"/>
  <c r="D33" i="2"/>
  <c r="D73" i="2"/>
  <c r="C16" i="2"/>
  <c r="D80" i="2"/>
  <c r="D16" i="2"/>
  <c r="C39" i="2"/>
  <c r="C59" i="2"/>
  <c r="C73" i="2"/>
  <c r="E73" i="2"/>
  <c r="E39" i="2"/>
  <c r="E33" i="2"/>
  <c r="C48" i="2"/>
  <c r="C47" i="2" s="1"/>
  <c r="C38" i="2" s="1"/>
  <c r="D59" i="2"/>
  <c r="D99" i="2"/>
  <c r="D72" i="2" s="1"/>
  <c r="D71" i="2" s="1"/>
  <c r="D38" i="2"/>
  <c r="D6" i="2" s="1"/>
  <c r="E50" i="2"/>
  <c r="E10" i="2"/>
  <c r="E8" i="2" s="1"/>
  <c r="E7" i="2" s="1"/>
  <c r="E21" i="2"/>
  <c r="E17" i="2" s="1"/>
  <c r="E16" i="2" s="1"/>
  <c r="E45" i="2"/>
  <c r="E44" i="2" s="1"/>
  <c r="C50" i="2"/>
  <c r="E60" i="2"/>
  <c r="E65" i="2"/>
  <c r="E69" i="2"/>
  <c r="C80" i="2"/>
  <c r="C99" i="2"/>
  <c r="E100" i="2"/>
  <c r="E102" i="2"/>
  <c r="E104" i="2"/>
  <c r="E106" i="2"/>
  <c r="E124" i="2"/>
  <c r="E72" i="2" l="1"/>
  <c r="E38" i="2"/>
  <c r="D137" i="2"/>
  <c r="C6" i="2"/>
  <c r="C72" i="2"/>
  <c r="C71" i="2" s="1"/>
  <c r="E99" i="2"/>
  <c r="E59" i="2"/>
  <c r="E71" i="2" l="1"/>
  <c r="E6" i="2"/>
  <c r="C137" i="2"/>
  <c r="E137" i="2" l="1"/>
  <c r="N13" i="3" l="1"/>
  <c r="N411" i="3" s="1"/>
  <c r="J12" i="3"/>
  <c r="J11" i="3" s="1"/>
  <c r="J10" i="3" s="1"/>
  <c r="J9" i="3" s="1"/>
  <c r="J4" i="3" s="1"/>
  <c r="J411" i="3" s="1"/>
  <c r="D12" i="5" s="1"/>
  <c r="D11" i="5" s="1"/>
  <c r="D10" i="5" s="1"/>
  <c r="D9" i="5" s="1"/>
  <c r="D4" i="5" s="1"/>
  <c r="D13" i="5" s="1"/>
  <c r="J423" i="3" l="1"/>
  <c r="K423" i="3" s="1"/>
  <c r="J420" i="3"/>
  <c r="O13" i="3"/>
  <c r="O411" i="3" s="1"/>
  <c r="O423" i="3" l="1"/>
</calcChain>
</file>

<file path=xl/sharedStrings.xml><?xml version="1.0" encoding="utf-8"?>
<sst xmlns="http://schemas.openxmlformats.org/spreadsheetml/2006/main" count="3739" uniqueCount="720">
  <si>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</si>
  <si>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</si>
  <si>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</si>
  <si>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</si>
  <si>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</si>
  <si>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</si>
  <si>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</si>
  <si>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</si>
  <si>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</si>
  <si>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</si>
  <si>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002 00 00 </t>
  </si>
  <si>
    <t>Центральный аппарат</t>
  </si>
  <si>
    <t>002 04 00</t>
  </si>
  <si>
    <t xml:space="preserve">Обеспечение деятельности аппарата </t>
  </si>
  <si>
    <t>002 04 01</t>
  </si>
  <si>
    <t>Обеспечение деятельности контрольного органа - ревизионной комиссии Клетнянского муниципального района</t>
  </si>
  <si>
    <t>002 04 03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</si>
  <si>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</si>
  <si>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</si>
  <si>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002 00 00</t>
  </si>
  <si>
    <t>Обеспечение деятельности аппарата администрации района на реализацию полномочий поселений в области градостроительной деятельности</t>
  </si>
  <si>
    <t>002 04 04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</si>
  <si>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</si>
  <si>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</si>
  <si>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управления администрации района</t>
  </si>
  <si>
    <t>002 04 05</t>
  </si>
  <si>
    <t>Резервные фонды</t>
  </si>
  <si>
    <t>11</t>
  </si>
  <si>
    <t>070 00 00</t>
  </si>
  <si>
    <t>Резервный фонд администрации Клетнянского района</t>
  </si>
  <si>
    <t>070 06 00</t>
  </si>
  <si>
    <t>Прочие расходы</t>
  </si>
  <si>
    <t>013</t>
  </si>
  <si>
    <t>Другие общегосударственные вопросы</t>
  </si>
  <si>
    <t>13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</si>
  <si>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</si>
  <si>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090 00 00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</si>
  <si>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</si>
  <si>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01 </t>
  </si>
  <si>
    <t>090 02 00</t>
  </si>
  <si>
    <t>Выполнение функций органами местного самоуправления</t>
  </si>
  <si>
    <t>500</t>
  </si>
  <si>
    <t>531 00 00</t>
  </si>
  <si>
    <t>Расходные обязательства, выполнение которых осуществляется за счет субвенций из областного бюджета</t>
  </si>
  <si>
    <t>531 02 00</t>
  </si>
  <si>
    <t>Ведомственные целевые программы муниципального района</t>
  </si>
  <si>
    <t>10</t>
  </si>
  <si>
    <t>796 00 00</t>
  </si>
  <si>
    <t>Ведомственная целевая программа "Развитие муниципального управления Клетнянского района на 2011-2013 годы"</t>
  </si>
  <si>
    <t>796 11 00</t>
  </si>
  <si>
    <t>Национальная оборона</t>
  </si>
  <si>
    <t>02</t>
  </si>
  <si>
    <t>Мобилизационная и вневойсковая подготовка</t>
  </si>
  <si>
    <t>Руководство и управление в сфере установленных функций</t>
  </si>
  <si>
    <t>001 00 00</t>
  </si>
  <si>
    <t>Осуществление первичного воинского учета на территориях, где отсутствуют военные комиссариаты</t>
  </si>
  <si>
    <t>001 36 00</t>
  </si>
  <si>
    <t xml:space="preserve">001 36 01 </t>
  </si>
  <si>
    <t>001 36 01</t>
  </si>
  <si>
    <t>Национальная безопасность и правоохранительная деятельность</t>
  </si>
  <si>
    <t>Органы внутренних дел</t>
  </si>
  <si>
    <t>Функционирование органов в сфере национальной безопасности, правоохранительной деятельности и обороны</t>
  </si>
  <si>
    <t>014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</si>
  <si>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</si>
  <si>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</si>
  <si>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Резервные фонды местных администраций</t>
  </si>
  <si>
    <t>070 05 00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</si>
  <si>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</si>
  <si>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</si>
  <si>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 и правоохранительной деятельности</t>
  </si>
  <si>
    <t>202 67 00</t>
  </si>
  <si>
    <t>Национальная экономика</t>
  </si>
  <si>
    <t>Общеэкономические вопросы</t>
  </si>
  <si>
    <t>Реализация государственной политики занятости населения</t>
  </si>
  <si>
    <t>510 00 00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</si>
  <si>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</si>
  <si>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510 03 00</t>
  </si>
  <si>
    <t xml:space="preserve">Реализация дополнительных мероприятий, направленных на снижение напряженности на рынке труда субъектов Российской Федерации за счет средств федерального бюджета </t>
  </si>
  <si>
    <t>510 03 01</t>
  </si>
  <si>
    <t>Реализация дополнительных мероприятий, направленных на снижение напряженности на рынке труда субъектов Российской Федерации за счт средств бюджета субъекта Российской Федерации</t>
  </si>
  <si>
    <t>510 03 02</t>
  </si>
  <si>
    <t>Сельское хозяйство и рыболовство</t>
  </si>
  <si>
    <t>05</t>
  </si>
  <si>
    <t>Мероприятия в области сельскохозяйственного производства</t>
  </si>
  <si>
    <t>342</t>
  </si>
  <si>
    <t>Другие вопросы в области национальной экономики</t>
  </si>
  <si>
    <t>12</t>
  </si>
  <si>
    <t>Осуществление отдельных государственных полномочий Брянской области в области охраны труда</t>
  </si>
  <si>
    <t>Жилищно-коммунальное хозяйство</t>
  </si>
  <si>
    <t>Коммунальне хозяйство</t>
  </si>
  <si>
    <t>Бюджетные инвестиции</t>
  </si>
  <si>
    <t>003</t>
  </si>
  <si>
    <t>Образование</t>
  </si>
  <si>
    <t>07</t>
  </si>
  <si>
    <t>Дошкольное образование</t>
  </si>
  <si>
    <t>Детские дошкольные учреждения</t>
  </si>
  <si>
    <t>420 00 00</t>
  </si>
  <si>
    <t>Обеспечение деятельности подведомственных учреждений</t>
  </si>
  <si>
    <t>420 99 00</t>
  </si>
  <si>
    <t>Обеспечение деятельности детских дошкольных учреждений</t>
  </si>
  <si>
    <t>420 99 01</t>
  </si>
  <si>
    <t>Выполнение функций бюджетными учреждениями</t>
  </si>
  <si>
    <t>001</t>
  </si>
  <si>
    <t>Обеспечение детских дошкольных учреждений продуктами питания</t>
  </si>
  <si>
    <t>420 99 02</t>
  </si>
  <si>
    <t>Проведение ремонта здания ДДУ "Радуга"</t>
  </si>
  <si>
    <t>420 99 03</t>
  </si>
  <si>
    <t>Уплата налогов в связи с отменой льгот</t>
  </si>
  <si>
    <t>420 99 04</t>
  </si>
  <si>
    <t>Разовая материальная помощь к отпуску работникам детских дошкольных учреждений</t>
  </si>
  <si>
    <t>420 99 05</t>
  </si>
  <si>
    <t>Общее образование</t>
  </si>
  <si>
    <t>Бюджетные инвестиции в объекты капитального строительства, не включенные в целевые программы</t>
  </si>
  <si>
    <t>102 00 00</t>
  </si>
  <si>
    <t>Бюджетные инвестиции в объекты капитального строительства государственной собственности субъектов Российской Федерации (объекты строительства собственности муниципальных образований)</t>
  </si>
  <si>
    <t>102 01 00</t>
  </si>
  <si>
    <t xml:space="preserve">Бюджетные инвестиции в объекты капитального строительства собственности муниципальных образований </t>
  </si>
  <si>
    <t>102 01 02</t>
  </si>
  <si>
    <t xml:space="preserve">Школы-детские сады, школы начальные, неполные средние и средние </t>
  </si>
  <si>
    <t>421 00 00</t>
  </si>
  <si>
    <t>421 99 00</t>
  </si>
  <si>
    <t xml:space="preserve">Обеспечение деятельности малокомплектных школ </t>
  </si>
  <si>
    <t>421 99 01</t>
  </si>
  <si>
    <t>Обеспечение продуктами питания учащихся малокомплектных школ</t>
  </si>
  <si>
    <t>421 99 02</t>
  </si>
  <si>
    <t xml:space="preserve">Уплата налогов в связи с отменой льгот малокомплектными школами </t>
  </si>
  <si>
    <t>421 99 03</t>
  </si>
  <si>
    <t>Разовая материальная помощь к отпуску работникам малокомплектных школ</t>
  </si>
  <si>
    <t>421 99 04</t>
  </si>
  <si>
    <t>Обеспечение деятельности школы №1 п.Клетня</t>
  </si>
  <si>
    <t>421 99 11</t>
  </si>
  <si>
    <t>Обеспечение продуктами питания учащихся школы №1 п.Клетня</t>
  </si>
  <si>
    <t>421 99 12</t>
  </si>
  <si>
    <t xml:space="preserve">Уплата налогов в связи с отменой льгот  школой №1 п.Клетня </t>
  </si>
  <si>
    <t>421 99 13</t>
  </si>
  <si>
    <t>Разовая материальная помощь к отпуску работникам школы №1</t>
  </si>
  <si>
    <t>421 99 14</t>
  </si>
  <si>
    <t>Обеспечение деятельности школы №2 п.Клетня</t>
  </si>
  <si>
    <t>421 99 21</t>
  </si>
  <si>
    <t xml:space="preserve">Обеспечение продуктами питания учащихся школы №2 п.Клетня </t>
  </si>
  <si>
    <t>421 99 22</t>
  </si>
  <si>
    <t xml:space="preserve">Уплата налогов в связи с отменой льгот  школой №2 п.Клетня </t>
  </si>
  <si>
    <t>421 99 23</t>
  </si>
  <si>
    <t>Разовая материальная помощь к отпуску работникам школы №2</t>
  </si>
  <si>
    <t>421 99 24</t>
  </si>
  <si>
    <t xml:space="preserve">Обеспечение деятельности Лутенской школы </t>
  </si>
  <si>
    <t>421 99 31</t>
  </si>
  <si>
    <t>Обеспечение продуктами питания учащихся Лутенской школы</t>
  </si>
  <si>
    <t>421 99 32</t>
  </si>
  <si>
    <t xml:space="preserve">Уплата налогов в связи с отменой льгот  Лутенской школой </t>
  </si>
  <si>
    <t>421 99 33</t>
  </si>
  <si>
    <t xml:space="preserve">Разовая материальная помощь к отпуску работникам Лутенской школы </t>
  </si>
  <si>
    <t>421 99 34</t>
  </si>
  <si>
    <t xml:space="preserve">Обеспечение деятельности Мирнинской школы-сад </t>
  </si>
  <si>
    <t>421 99 41</t>
  </si>
  <si>
    <t>Обеспечение продуктами питания учащихся Мирнинской школы-сад</t>
  </si>
  <si>
    <t>421 99 42</t>
  </si>
  <si>
    <t>Обеспечение продуктами питания детей дошкольного возраста Мирнинской школы-сад</t>
  </si>
  <si>
    <t>421 99 43</t>
  </si>
  <si>
    <t xml:space="preserve">Уплата налогов в связи с отменой льгот  Мирнинской школой-сад </t>
  </si>
  <si>
    <t>421 99 44</t>
  </si>
  <si>
    <t>Учреждения по внешкольной работе с детьми</t>
  </si>
  <si>
    <t>423 00 00</t>
  </si>
  <si>
    <t>423 99 01</t>
  </si>
  <si>
    <t>ДЮСШ</t>
  </si>
  <si>
    <t>Муз.</t>
  </si>
  <si>
    <t>Уплата налогов в связи с отменой льгот внешкольными учреждениями</t>
  </si>
  <si>
    <t>423 99 02</t>
  </si>
  <si>
    <t>Разовая материальная помощь к отпуску работникам внешкольных учреждений</t>
  </si>
  <si>
    <t>Иные безвозмездные и безвозвратные перечисления</t>
  </si>
  <si>
    <t>520 00 00</t>
  </si>
  <si>
    <t>Ежемесячное денежное вознаграждение за классное руководство</t>
  </si>
  <si>
    <t>520 09 00</t>
  </si>
  <si>
    <t>Развитие социальной и инженерной инфраструктуры субъектов Российской Федерации и муниципальных образований</t>
  </si>
  <si>
    <t>523 00 00</t>
  </si>
  <si>
    <t xml:space="preserve">Развитие социальной и инженерной инфраструктуры </t>
  </si>
  <si>
    <t>523 01 02</t>
  </si>
  <si>
    <t>Финансирование общеобразовательных учреждений в части обеспечения реализации основных общеобразовательных программ</t>
  </si>
  <si>
    <t>Молодежная политика и оздоровление детей</t>
  </si>
  <si>
    <t>Проведение оздоровительных и других мероприятий для детей и молодежи</t>
  </si>
  <si>
    <t>447</t>
  </si>
  <si>
    <t>Другие вопросы в области образования</t>
  </si>
  <si>
    <t>002 04 06</t>
  </si>
  <si>
    <t>Учреждения, обеспечивающие предоставление услуг в сфере образования</t>
  </si>
  <si>
    <t xml:space="preserve">435 00 00 </t>
  </si>
  <si>
    <t xml:space="preserve">435 99 00 </t>
  </si>
  <si>
    <t>Обеспечение деятельности учреждений, обеспечивающих предоставление услуг в сфере образования</t>
  </si>
  <si>
    <t>435 99 01</t>
  </si>
  <si>
    <t xml:space="preserve">435 99 01 </t>
  </si>
  <si>
    <t>Разовая материальная помощь к отпуску работникам учреждений, обеспечивающих предоставление услуг в сфере образования</t>
  </si>
  <si>
    <t>435 99 02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</si>
  <si>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</si>
  <si>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</si>
  <si>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</si>
  <si>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Прочие учреждения</t>
  </si>
  <si>
    <t>452 99 11</t>
  </si>
  <si>
    <t>Уплата налогов в связи с отменой льгот прочими учреждениями</t>
  </si>
  <si>
    <t>452 99 12</t>
  </si>
  <si>
    <t>Разовая материальная помощь к отпуску работникам прочих учреждений</t>
  </si>
  <si>
    <t>452 99 13</t>
  </si>
  <si>
    <t>Мероприятия в сфере образования</t>
  </si>
  <si>
    <t>022</t>
  </si>
  <si>
    <t>08</t>
  </si>
  <si>
    <t>Культура</t>
  </si>
  <si>
    <t>440 00 00</t>
  </si>
  <si>
    <t>440 99 00</t>
  </si>
  <si>
    <t>Обеспечение деятельности клубных учреждений</t>
  </si>
  <si>
    <t>440 99 01</t>
  </si>
  <si>
    <t xml:space="preserve">Разовая материальная помощь к отпуску </t>
  </si>
  <si>
    <t>440 99 02</t>
  </si>
  <si>
    <t>Уплата налогов в связи с отменой налоговых льгот</t>
  </si>
  <si>
    <t>440 99 03</t>
  </si>
  <si>
    <t>442 99 03</t>
  </si>
  <si>
    <t>Библиотеки</t>
  </si>
  <si>
    <t>442 00 00</t>
  </si>
  <si>
    <t>442 99 00</t>
  </si>
  <si>
    <t>442 99 01</t>
  </si>
  <si>
    <t>442 99 02</t>
  </si>
  <si>
    <t>Мероприятия по поддержке и развитию культуры, искусства, кинематографии, средств массовой информации и архивного дела</t>
  </si>
  <si>
    <t>023</t>
  </si>
  <si>
    <t xml:space="preserve">Другие вопросы в области культуры, кинематографии </t>
  </si>
  <si>
    <t>Обеспечение деятельности аппарата отдела культуры администрации района</t>
  </si>
  <si>
    <t>002 04 07</t>
  </si>
  <si>
    <t>531 02 12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</si>
  <si>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</si>
  <si>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</si>
  <si>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</si>
  <si>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491 00 00</t>
  </si>
  <si>
    <t>Доплаты к пенсиям государственных служащих субъектов Российской Федерации и муниципальных служащих</t>
  </si>
  <si>
    <t>491 01 00</t>
  </si>
  <si>
    <t>Социальные выплаты</t>
  </si>
  <si>
    <t>005</t>
  </si>
  <si>
    <t>Социальное обеспечение населения</t>
  </si>
  <si>
    <t>Реализация государственных функций в области социальной политики</t>
  </si>
  <si>
    <t>514 00 00</t>
  </si>
  <si>
    <t>Мероприятия в области социальной политики</t>
  </si>
  <si>
    <t>514 01 00</t>
  </si>
  <si>
    <t>Региональные целевые программы</t>
  </si>
  <si>
    <t>522 00 00</t>
  </si>
  <si>
    <t>Областная целевая программа "Жилище" (2007-2010 годы)</t>
  </si>
  <si>
    <t>522 27 00</t>
  </si>
  <si>
    <t>Подпрограмма "Обеспечение жильем молодых семей"(2007-2010 годы)</t>
  </si>
  <si>
    <t>522 27 03</t>
  </si>
  <si>
    <t xml:space="preserve">Долгосрочные целевые программы </t>
  </si>
  <si>
    <t>922 00 00</t>
  </si>
  <si>
    <t>Долгосрочная целевая программа "Жилище" (2007-2010 годы)</t>
  </si>
  <si>
    <t>922 36 00</t>
  </si>
  <si>
    <t>Программа "Обеспечение жильем молодых семей" (2007-2010 годы)</t>
  </si>
  <si>
    <t>922 36 03</t>
  </si>
  <si>
    <t>Охрана семьи и детства</t>
  </si>
  <si>
    <t>Социальная помощь</t>
  </si>
  <si>
    <t>505 00 00</t>
  </si>
  <si>
    <t>Федеральный закон от 19 мая 1995 года №81-ФЗ "О государственных пособиях гражданам, имеющим детей"</t>
  </si>
  <si>
    <t>505 05 00</t>
  </si>
  <si>
    <t>Выплата единовременных пособий при всех формах устройства детей, лишенных родительского попечения, в семью</t>
  </si>
  <si>
    <t>505 05 02</t>
  </si>
  <si>
    <t>520 10 00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</si>
  <si>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</si>
  <si>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</si>
  <si>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Социальная поддержка и социальное обслуживание детей-сирот и детей, оставшихся без попечения родителей, находящихся на воспитании в приемных семьях</t>
  </si>
  <si>
    <t xml:space="preserve">10 </t>
  </si>
  <si>
    <t>520 13 01</t>
  </si>
  <si>
    <t>Выплата ежемесячных денежных средств на содержание и проезд ребенка опекуну (попечителю)</t>
  </si>
  <si>
    <t>520 13 02</t>
  </si>
  <si>
    <t>Другие вопросы в области социальной политики</t>
  </si>
  <si>
    <t>068</t>
  </si>
  <si>
    <t>Физическая культура и спорт</t>
  </si>
  <si>
    <t>Массовый спорт</t>
  </si>
  <si>
    <t>Физкультурно-оздоровительная работа и спортивные мероприятия</t>
  </si>
  <si>
    <t>512 00 00</t>
  </si>
  <si>
    <t>Мероприятия в области здравоохранения, спорта и физической культуры, туризма</t>
  </si>
  <si>
    <t>512 97 00</t>
  </si>
  <si>
    <t>Проведение спортивных мероприятий за счет средств муниципального района</t>
  </si>
  <si>
    <t>512 97 01</t>
  </si>
  <si>
    <t>512 97 02</t>
  </si>
  <si>
    <t>Межбюджетные трансферты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</si>
  <si>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</si>
  <si>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</si>
  <si>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531 02 01</t>
  </si>
  <si>
    <t>Прочие дотации</t>
  </si>
  <si>
    <t>007</t>
  </si>
  <si>
    <t>Иные дотации</t>
  </si>
  <si>
    <t>ВСЕГО РАСХОДОВ</t>
  </si>
  <si>
    <t>(тыс.руб.)</t>
  </si>
  <si>
    <t xml:space="preserve"> </t>
  </si>
  <si>
    <t xml:space="preserve">КБК </t>
  </si>
  <si>
    <t>Утверждено на 2011 год</t>
  </si>
  <si>
    <t>Изменения 2011 год</t>
  </si>
  <si>
    <t>1 00 00000 00 0000 000</t>
  </si>
  <si>
    <t>НАЛОГОВЫЕ И НЕНАЛОГОВЫЕ ДОХОДЫ</t>
  </si>
  <si>
    <t xml:space="preserve"> 1 01 00000 00 0000 000</t>
  </si>
  <si>
    <t>НАЛОГИ НА ПРИБЫЛЬ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</si>
  <si>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</si>
  <si>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</si>
  <si>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</si>
  <si>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</si>
  <si>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</si>
  <si>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</si>
  <si>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</si>
  <si>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</si>
  <si>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1 01 02022 01 0000 110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</si>
  <si>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</si>
  <si>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1 01 02030 01 0000 110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</si>
  <si>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</si>
  <si>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1 01 02040 01 0000 110</t>
  </si>
  <si>
    <t xml:space="preserve">Налог на доходы физических лиц с доходов, полученных в виде выигрышей и призов в проводимых  конкурсах, играх и других мероприятиях в целях рекламы  товаров, работ и услуг,процентных доходов по вкладам  в банках, в виде  материальной  выгоды от  экономии на процентах при  получении заемных (кредитных) средств  </t>
  </si>
  <si>
    <t>182 1 01 02070 01 0000 110</t>
  </si>
  <si>
    <t>Налог на доходы физических лиц с доходов,  полученных физическими лицами, являющимися  иностранными  гражданами,  осуществляющими трудовую деятельность по найму у физических  лиц на основании патента</t>
  </si>
  <si>
    <t>1 05 00000 00 0000 000</t>
  </si>
  <si>
    <t>НАЛОГИ НА СОВОКУПНЫЙ ДОХОД</t>
  </si>
  <si>
    <t>1 05 01000 00 0000 110</t>
  </si>
  <si>
    <t>Налог, взимаемый в связи  с применением упрощенной системы  налогообложения</t>
  </si>
  <si>
    <t>1 05 01010 01 0000 110</t>
  </si>
  <si>
    <t xml:space="preserve">Налог, взимаемый с налогоплательщиков, выбравших в качестве объекта налогообложения доходы  </t>
  </si>
  <si>
    <t>1 05 01011 01 0000 110</t>
  </si>
  <si>
    <t xml:space="preserve"> Налог, взимаемый с налогоплательщиков, выбравших в качестве объекта налогообложения доходы  </t>
  </si>
  <si>
    <t>1 05 01012 01 0000 110</t>
  </si>
  <si>
    <t xml:space="preserve"> Налог, взимаемый с налогоплательщиков, выбравших в качестве объекта налогообложения доходы ( за налоговые периоды, истекшие до 1 января  2011 года) </t>
  </si>
  <si>
    <t>1 05 01020 01 0000 110</t>
  </si>
  <si>
    <t xml:space="preserve"> Налог, взимаемый с налогоплательщиков, выбравших в качестве объекта налогообложения  доходы , уменьшенные  на величину расходов  </t>
  </si>
  <si>
    <t xml:space="preserve"> 1 05 01021 01 0000 110</t>
  </si>
  <si>
    <t>1 05 01022 01 0000 110</t>
  </si>
  <si>
    <t xml:space="preserve"> Налог, взимаемый с налогоплательщиков, выбравших в качестве объекта налогообложения  доходы , уменьшенные  на величину расходов ( за налоговые  периоды, истекшие до 1 января 2011года) </t>
  </si>
  <si>
    <t>1 05 01040 00 0000 110</t>
  </si>
  <si>
    <t>Налог, взимаемый в виде стоимости патента в связи с применением упрощенной системы налогооблажения</t>
  </si>
  <si>
    <t>1 05 01041 02 0000 110</t>
  </si>
  <si>
    <t>1 05 01050 01 0000 120</t>
  </si>
  <si>
    <t>Минимальный налог, зачисляемый в бюджеты  субъектов Российской Федерации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</si>
  <si>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</si>
  <si>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</si>
  <si>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</si>
  <si>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</si>
  <si>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</si>
  <si>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</si>
  <si>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</si>
  <si>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</si>
  <si>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</si>
  <si>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 за налоговый период, истекший до 1 января 2011года)</t>
  </si>
  <si>
    <t>1 08 00000 00 0000 000</t>
  </si>
  <si>
    <t>ГОСУДАРСТВЕННАЯ ПОШЛИНА,  СБОРЫ</t>
  </si>
  <si>
    <t>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</si>
  <si>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</si>
  <si>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</si>
  <si>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</si>
  <si>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</si>
  <si>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</si>
  <si>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1 08 07140 01 0000 110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</si>
  <si>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</si>
  <si>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</si>
  <si>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</si>
  <si>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</si>
  <si>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бюджетных и 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</si>
  <si>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</si>
  <si>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</si>
  <si>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1 11 05010 10 0000 120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</si>
  <si>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</si>
  <si>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</si>
  <si>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 за исключением  имущества бюджетных и 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</si>
  <si>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</si>
  <si>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 за  исключением имущества  муниципальных бюджетных и  автономных учреждений)</t>
  </si>
  <si>
    <t>1 11 07000 00 0000 120</t>
  </si>
  <si>
    <t>Платежи от государственных  и муниципальных унитарных  предприятий</t>
  </si>
  <si>
    <t>1 11 07010 00 0000 120</t>
  </si>
  <si>
    <t>Доходы от перечисления  части  прибыли  государственных  и муниципальных  унитарных  предприятий, остающейся после уплаты налогов и  обязательных  платежей</t>
  </si>
  <si>
    <t>1 11 07015 05 0000 120</t>
  </si>
  <si>
    <t>Доходы от перечисления  части прибыли , остающейся после уплаты  налогов и иных  обязательных  платежей муниципальных унитарных предприятий, 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</si>
  <si>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</si>
  <si>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</si>
  <si>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</si>
  <si>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</si>
  <si>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</si>
  <si>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</si>
  <si>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</si>
  <si>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</si>
  <si>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</si>
  <si>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</si>
  <si>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1 14 00000 00 0000 000</t>
  </si>
  <si>
    <t>ДОХОДЫ ОТ ПРОДАЖИ  МАТЕРИАЛЬНЫХ И НЕМАТЕРИАЛЬНЫХ  АКТИВОВ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</si>
  <si>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</si>
  <si>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</si>
  <si>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</si>
  <si>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</si>
  <si>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1 14 06014 10 0000 430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</si>
  <si>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поселений</t>
  </si>
  <si>
    <t>1 16 00000 00 0000 000</t>
  </si>
  <si>
    <t>ШТРАФЫ. САНКЦИИ. ВОЗМЕЩЕНИЕ УЩЕРБА</t>
  </si>
  <si>
    <t>1 16 03000 00 0000 140</t>
  </si>
  <si>
    <t>Денежные взыскания (штрафы) за нарушение  законодательства о налогах и сборах</t>
  </si>
  <si>
    <t>1 16 03010 01 0000 140</t>
  </si>
  <si>
    <t>Денежные взыскания  (штрафы) за  нарушение  законодательства о налогах и сборах, предусмотренные статьями  116, 118, 119.1, пунктами 1  и 2 статьи 120,  статьями 125, 126, 128,129, 129.1,132, 133,134, 135, 135.1, Налогового кодекса  Российской  Федерации, а также штрафы, взыскание которых  осуществляется  на основании ранее действовавшей  статьи 117  Налогового  кодекса Российской  Федерации</t>
  </si>
  <si>
    <t>1 16 03030 01 0000 140</t>
  </si>
  <si>
    <t>Денежные взыскания (штрафы)  за административные  правонарушения  в области  налогов и сборов,  предусмотренные  Кодексом Российской Федерации  об  административных  правонарушениях</t>
  </si>
  <si>
    <t>1 16 06000 01 0000 140</t>
  </si>
  <si>
    <t>Денежные взыскания (штрафы) 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</si>
  <si>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</si>
  <si>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 (штрафы)  за административные  правонарушения  в области  государственного  регулирования  производства  и оборота   этилового  спирта,  алкогольной,  спиртосодержащей и табачной  продукции</t>
  </si>
  <si>
    <t>1 16 25000 01 0000 140</t>
  </si>
  <si>
    <t>Денежные взыскания  (штрафы) за  нарушение  законодательства о  недрах, об  особо охраняемых природных территориях, об охране и использовании животного  мира, об экологической экспертизе,  в области охраны окружающей среды,  земельного законодательства. лесного законодательства, водного законодательства</t>
  </si>
  <si>
    <t>1 16 25060 01 0000 140</t>
  </si>
  <si>
    <t>Денежные  взыскания  (штрафы) за нарушение  земельного  законодательства</t>
  </si>
  <si>
    <t>1 16 28000 00 0000 140</t>
  </si>
  <si>
    <t>Денежные взыскания  (штрафы) за нарушение законодательства  в области  обеспечения  санитарно-эпидемиологического  благополучия человека  и законодательства в сфере защиты прав потребителей</t>
  </si>
  <si>
    <t>1 16 30000 01 0000 140</t>
  </si>
  <si>
    <t>Денежные взыскания ( штрафы)  за административные  правонарушения  в области дорожного движения</t>
  </si>
  <si>
    <t>1 16 90000 00 0000 140</t>
  </si>
  <si>
    <t>Прочие  поступления  от денежных  взысканий  (штрафов) и иных сумм в возмещение  ущерба</t>
  </si>
  <si>
    <t>1 16 90050 05 0000 140</t>
  </si>
  <si>
    <t>Прочие поступления 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</si>
  <si>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</si>
  <si>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</si>
  <si>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</si>
  <si>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</si>
  <si>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</si>
  <si>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</si>
  <si>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2 02 01001 00 0000 151</t>
  </si>
  <si>
    <t>Дотации на выравнивание бюджетной обеспеченности</t>
  </si>
  <si>
    <t>2 02 01001 05 0000 151</t>
  </si>
  <si>
    <t>Дотации бюджетам муниципальных районов на выравнивание бюджетной обеспеченности</t>
  </si>
  <si>
    <t>2 02 01003 00 0000 151</t>
  </si>
  <si>
    <t>Дотации бюджетам на поддержку мер по обеспечению сбалансированности бюджетов</t>
  </si>
  <si>
    <t>2 02 01003 05 0000 151</t>
  </si>
  <si>
    <t>Дотации бюджетам муниципальных районов на поддержку мер по обеспечению сбалансированности бюджетов</t>
  </si>
  <si>
    <t>2 02 01999 00 0000 151</t>
  </si>
  <si>
    <t>2 02 01999 05 0000 151</t>
  </si>
  <si>
    <t>Прочие дотации бюджетам муниципальных районов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</si>
  <si>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</si>
  <si>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</si>
  <si>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2 02 02077 00 0000 151</t>
  </si>
  <si>
    <t xml:space="preserve"> Сусидии бюджетам  на бюджетные инвестиции в объекты капитального строительства государственной субъектов Российской Федерации (объекты капитального строительства собственности муниципальных образований)</t>
  </si>
  <si>
    <t>2 02 02077 05 0000 151</t>
  </si>
  <si>
    <t xml:space="preserve"> Сусидии бюджетам муниципальных районов на бюджетные инвестиции в объекты капитального строительства собственности муниципальных образований</t>
  </si>
  <si>
    <t xml:space="preserve"> - субсидии на строительство пристройки к школе №2 п.Клетня</t>
  </si>
  <si>
    <t>2 02 02145 00 0000 151</t>
  </si>
  <si>
    <t>Субсидии бюджетам на модернизацию региональных систем общего образования</t>
  </si>
  <si>
    <t>2 02 02145 05 0000 151</t>
  </si>
  <si>
    <t>Субсидии бюджетам муниципальных районов на модернизацию региональных систем общего образования</t>
  </si>
  <si>
    <t>2 02 02999 00 0000 151</t>
  </si>
  <si>
    <t>Прочие субсидии</t>
  </si>
  <si>
    <t>2 02 02999 05 0000 151</t>
  </si>
  <si>
    <t>Прочие субсидии бюджетам муниципальных районов</t>
  </si>
  <si>
    <t xml:space="preserve"> - субсидии на реализацию ДЦП "Развитие образования Брянской области" (2009-2013 годы)</t>
  </si>
  <si>
    <t xml:space="preserve"> - субсидии на реализацию ДЦП "Демографическое развитие Брянской области" (2011-2015 годы)</t>
  </si>
  <si>
    <t xml:space="preserve"> - субсидии из резервного фонда администрации Брянской области на капитальный ремонт крыши детского сада "Радуга"</t>
  </si>
  <si>
    <t xml:space="preserve"> - субсидии из резервного фонда администрации Брянской области на ликвидацию последствимй чрезвычайной ситуации в ООО"Лутна" </t>
  </si>
  <si>
    <t xml:space="preserve"> - субсидии на организацию и проведение лагерей с дневным пребыванием на базе учреждений образования, физической культуры и спорта</t>
  </si>
  <si>
    <t xml:space="preserve"> - субсидии на реализацию ДЦП "Развитие физической культуры и спорта в Брянской области" (2010-2015 годы)</t>
  </si>
  <si>
    <t>2 02 03000 00 0000 151</t>
  </si>
  <si>
    <t>Субвенции бюджетам субъектов Российской Федерации и муниципальных образований</t>
  </si>
  <si>
    <t>2 02 03002 00 0000 151</t>
  </si>
  <si>
    <t>Субвенции бюджетам на осуществление полномочий по подготовке проведения статистических переписей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</si>
  <si>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</si>
  <si>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</si>
  <si>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</si>
  <si>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</si>
  <si>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</si>
  <si>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</si>
  <si>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2 02 03020 00 0000 151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</si>
  <si>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</si>
  <si>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</si>
  <si>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</si>
  <si>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2 02 03021 00 0000 151</t>
  </si>
  <si>
    <t>Субвенции бюджетам муниципальных образований на ежемесячное денежное вознаграждение за классное руководство</t>
  </si>
  <si>
    <t>2 02 03021 05 0000 151</t>
  </si>
  <si>
    <t>Субвенции бюджетам муниципальных районов на ежемесячное денежное вознаграждение за классное руководство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</si>
  <si>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</si>
  <si>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</si>
  <si>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</si>
  <si>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</si>
  <si>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субвенция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</si>
  <si>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для предоставления субвенций поселениям на оказание мер социальной поддержки по оплате жилья и коммунальных услуг отдельным категориям граждан, работающих  в сельской местности или поселках городского типа на территории Брянской области</t>
  </si>
  <si>
    <t xml:space="preserve"> - субвенция бюджетам муниципальных районов на поддержку мер по обеспечению сбалансированности бюджетов поселений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</si>
  <si>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</t>
  </si>
  <si>
    <t xml:space="preserve"> - субвенция бюджетам муниципальных районов по возмещению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учреждений, финансируемых из местных бюджетов, работающим и проживающим в сельской местности или поселках городского типа на территории Брянской области</t>
  </si>
  <si>
    <t xml:space="preserve"> - субвенции бюджетам муниципальных районов для осуществления отдельных государственных полномочий Брянской области в сфере осуществления деятельности по профилактике безнадзорности и правонарушений несовершеннолетних </t>
  </si>
  <si>
    <t xml:space="preserve"> - субвенции бюджетам муниципальных районов для осуществления отдельных государственных полномочий Брянской области по организации деятельности административных комиссий </t>
  </si>
  <si>
    <t xml:space="preserve"> - 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 </t>
  </si>
  <si>
    <t xml:space="preserve"> - субвенции бюджетам муниципальных районов для осуществления отдельных государственных полномочий Брянской области в области охраны труда</t>
  </si>
  <si>
    <t xml:space="preserve"> - субвенции бюджетам муниципальных районов на обеспечение сохранности жилых помещений, закрепленных за детьми-сиротами и детьми, оставшимися без попечения родителей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</si>
  <si>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</si>
  <si>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</si>
  <si>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2 02 03027 05 0000 151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</si>
  <si>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</si>
  <si>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- субвенции бюджетам муниципальных районов на социальную поддержку и социальное обслуживание детей-сирот и детей, оставшихся без попечения родителей, находящихся на воспитании в приемных семьях</t>
  </si>
  <si>
    <t xml:space="preserve"> - субвенции бюджетам муниципальных районов на финансовое обеспечение государственных полномочий Брянской области по выплате ежемесячных денежных средств на содержание и проезд ребенка опекуну (попечителю)</t>
  </si>
  <si>
    <t>2 02 03029 00 0000 151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</si>
  <si>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</si>
  <si>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2 02 03029 05 0000 151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</si>
  <si>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</si>
  <si>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2 02 03999 00 0000 151</t>
  </si>
  <si>
    <t xml:space="preserve">Прочие субвенции </t>
  </si>
  <si>
    <t>2 02 03999 05 0000 151</t>
  </si>
  <si>
    <t>Прочие субвенции бюджетам муниципальных районов</t>
  </si>
  <si>
    <t xml:space="preserve"> - субвенции бюджетам муниципальных районов по финансированию образовательных учреждений в части обеспечения реализации основных общеобразовательных программ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</si>
  <si>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</si>
  <si>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</si>
  <si>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</si>
  <si>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</si>
  <si>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</si>
  <si>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</si>
  <si>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</si>
  <si>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</si>
  <si>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</si>
  <si>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</t>
  </si>
  <si>
    <t>2 18 05030 05 0000 151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</si>
  <si>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</si>
  <si>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</si>
  <si>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</si>
  <si>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</si>
  <si>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</si>
  <si>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</si>
  <si>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1 13 00000 00 0000 000</t>
  </si>
  <si>
    <t>ДОХОДЫ ОТ ОКАЗАНИЯ ПЛАТНЫХ УСЛУГ И КОМПЕНСАЦИИ ЗАТРАТ ГОСУДАРСТВА</t>
  </si>
  <si>
    <t>1 13 03000 00 0000 130</t>
  </si>
  <si>
    <t>Прочие доходы от оказания платных услуг и компенсации затрат  государства</t>
  </si>
  <si>
    <t>Прочие доходы от оказания  платных услуг  получателями средств  бюджетов муниципальных  районов  и компенсации  затрат  бюджетов  муниципальных районов</t>
  </si>
  <si>
    <t>1 13 03050 05 0000 130</t>
  </si>
  <si>
    <t>2 02 02008 05 0000 151</t>
  </si>
  <si>
    <t>2 02 02008 00 0000 151</t>
  </si>
  <si>
    <t xml:space="preserve"> Сусидии бюджетам на обеспечение жильем молодых семей</t>
  </si>
  <si>
    <t xml:space="preserve"> Сусидии бюджетам муниципальных районов на обеспечение жильем молодых семей</t>
  </si>
  <si>
    <t xml:space="preserve"> - субсидии на реализацию ДЦП "Культура Брянщины" (2011-2015 годы)</t>
  </si>
  <si>
    <t xml:space="preserve"> - субсидии на оказание финансовой помощи на исполнение полномочий в части оплаты труда работников дошкольных образовательных учреждений</t>
  </si>
  <si>
    <t xml:space="preserve"> - субсидии на реализацию ВЦП "Обеспечение безопасности гидротехнических сооружений а также противопаводковые мероприятия и водохозяйственная деятельность на территории Брянской области" (2010-2015 годы)</t>
  </si>
  <si>
    <t>Сумма, тыс.руб.</t>
  </si>
  <si>
    <t xml:space="preserve">Уточненный план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</si>
  <si>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</si>
  <si>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</si>
  <si>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002 03 00</t>
  </si>
  <si>
    <t>Уплата налогов в связи с отменой льгот районного Совета</t>
  </si>
  <si>
    <t>002 04 02</t>
  </si>
  <si>
    <t>Осуществление полномочий в области градостроительной деятельности поселений, за счет средств бюджетов поселений</t>
  </si>
  <si>
    <t xml:space="preserve">Уплата налогов в связи с отменой льгот </t>
  </si>
  <si>
    <t>002 04 08</t>
  </si>
  <si>
    <t>Осуществление полномочий по формированию архивных фондов поселений, за счет средств бюджетов поселений</t>
  </si>
  <si>
    <t>002 04 09</t>
  </si>
  <si>
    <t>Резервный фонд органов местного самоуправления Клетнянского района</t>
  </si>
  <si>
    <t>070 07 00</t>
  </si>
  <si>
    <t xml:space="preserve">Руководство и управление в сфере установленных функций </t>
  </si>
  <si>
    <t>Осуществление полномочий по подготовке проведения статистических переписей</t>
  </si>
  <si>
    <t>001 43 00</t>
  </si>
  <si>
    <t>521 00 00</t>
  </si>
  <si>
    <t>Финансовое обеспечение расходных обязательств муниципальных образований, возникающих при выполнении государственных полномочий Российской Федерации, переданных для осуществления органам местного самоуправления в установленном порядке</t>
  </si>
  <si>
    <t>521 02 00</t>
  </si>
  <si>
    <t>Организация деятельности административных комиссий</t>
  </si>
  <si>
    <t>521 02 04</t>
  </si>
  <si>
    <t>Долгосрочные целевые программы</t>
  </si>
  <si>
    <t>Долгосрочная целевая программа "Энергосбережение и повышение энергетической эффективности в Клетнянском муниципальном районе Брянской области на 2010-2014 годы и целевые установки на период до 2020 года"</t>
  </si>
  <si>
    <t>922 89 00</t>
  </si>
  <si>
    <t>Предоставление субвенций бюджетам поселений на 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</si>
  <si>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Фонд компенсаций</t>
  </si>
  <si>
    <t>009</t>
  </si>
  <si>
    <t>Долгосрочная целевая программа "Совершенствование системы профилактики правонарушений и усиление борьбы с преступностью в Клетнянском районе  (2010-2012 годы)"</t>
  </si>
  <si>
    <t>922 81 00</t>
  </si>
  <si>
    <t>Осуществление деятельности Единой диспетчерской службы Клетнянского района</t>
  </si>
  <si>
    <t>202 67 01</t>
  </si>
  <si>
    <t>Организация и осуществление мероприятий по гражданской обороне, защите населения и территории от чрезвычайных ситуаций природного и техногенного характера за счет средств бюджетов поселений</t>
  </si>
  <si>
    <t>202 67 02</t>
  </si>
  <si>
    <t>Резервные фонды исполнительных органов государственной власти субъектов Российской Федерации</t>
  </si>
  <si>
    <t>070 04 00</t>
  </si>
  <si>
    <t>Долгосрочная целевая программа "Кадровое обеспечение агропромышленного комплекса Клетнянского района" (2009-2013 годы)</t>
  </si>
  <si>
    <t>922 82 00</t>
  </si>
  <si>
    <t>Долгосрочная целевая программа "Развитие животноводства в агропромышленном комплексе Клетнянского района" (2009-2013 годы)</t>
  </si>
  <si>
    <t>922 83 00</t>
  </si>
  <si>
    <t>Водное хозяйство</t>
  </si>
  <si>
    <t>Водохозяйственные мероприятия</t>
  </si>
  <si>
    <t>280 00 00</t>
  </si>
  <si>
    <t>Осуществление отдельных полномочий в области водных отношений</t>
  </si>
  <si>
    <t>280 04 00</t>
  </si>
  <si>
    <t>Мероприятия в области водных объектов, находящихся в муниципальной собственности, бесхозяйных гидротехнических сооружений</t>
  </si>
  <si>
    <t>280 51 00</t>
  </si>
  <si>
    <t>Ведомственные целевые прогаммы</t>
  </si>
  <si>
    <t>822 00 00</t>
  </si>
  <si>
    <t>Ведомственная целевая программа "Обеспечение безопасности гидротехнических сооружений, а также противопаводковые мероприятия и водохозяйственная деятельность на территории Брянской области" (2010-2015 годы)</t>
  </si>
  <si>
    <t>822 66 00</t>
  </si>
  <si>
    <t>521 02 22</t>
  </si>
  <si>
    <t>Долгосрочная целевая программа "Чистая вода" на 2008-2011 годы</t>
  </si>
  <si>
    <t>922 87 00</t>
  </si>
  <si>
    <t>Создание дополнительных мест в детских дошкольных учреждениях Клетнянского района</t>
  </si>
  <si>
    <t>420 99 06</t>
  </si>
  <si>
    <t xml:space="preserve">521 00 00 </t>
  </si>
  <si>
    <t>Предоставление мер социальной поддержки по оплате жилья и коммунальных услуг отдельным категориям граждан, работающих в сельской местности или поселках городского типа на территории Брянской области</t>
  </si>
  <si>
    <t>521 02 11</t>
  </si>
  <si>
    <t>Возмещение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учреждений, финансируемых из местных бюджетов, работающим и проживающим в сельской местности или поселках городского типа на территории Брянской области</t>
  </si>
  <si>
    <t>521 02 13</t>
  </si>
  <si>
    <t>Разовая материальная помощь к отпуску работникам Мирнинской школы-сад</t>
  </si>
  <si>
    <t>421 99 45</t>
  </si>
  <si>
    <t>423 99 00</t>
  </si>
  <si>
    <t>Обеспечение деятельности учреждений по внешкольной работе с детьми за исключением детской школы искусств</t>
  </si>
  <si>
    <t>Уплата налогов в связи с отменой льгот внешкольными учреждениями за исключением детской школы искусств</t>
  </si>
  <si>
    <t>Разовая материальная помощь к отпуску работникам внешкольных учреждений, за исключением детской школы искусств</t>
  </si>
  <si>
    <t>423 99 03</t>
  </si>
  <si>
    <t>Обеспечение деятельности детской школы искусств</t>
  </si>
  <si>
    <t>423 99 11</t>
  </si>
  <si>
    <t>Уплата налогов в связи с отменой льгот детской школой искусств</t>
  </si>
  <si>
    <t>423 99 12</t>
  </si>
  <si>
    <t>Разовая материальная помощь к отпуску работникам детской школы искусств</t>
  </si>
  <si>
    <t>423 99 13</t>
  </si>
  <si>
    <t>Мероприятия в области образования</t>
  </si>
  <si>
    <t>436 00 00</t>
  </si>
  <si>
    <t>Модернизация региональных систем общего образования</t>
  </si>
  <si>
    <t>436 21 00</t>
  </si>
  <si>
    <t>Модернизация региональных систем общего образования в малокомплектных школах</t>
  </si>
  <si>
    <t>436 21 01</t>
  </si>
  <si>
    <t>Модернизация региональных систем общего образования в школе №1 п.Клетня</t>
  </si>
  <si>
    <t>436 21 11</t>
  </si>
  <si>
    <t>Модернизация региональных систем общего образования в школе №2 п.Клетня</t>
  </si>
  <si>
    <t>436 21 21</t>
  </si>
  <si>
    <t>Модернизация региональных систем общего образования в Лутенской школе</t>
  </si>
  <si>
    <t>436 21 31</t>
  </si>
  <si>
    <t>Модернизация региональных систем общего образования в Мирнинской школе</t>
  </si>
  <si>
    <t>436 21 41</t>
  </si>
  <si>
    <t>521 02 09</t>
  </si>
  <si>
    <t>523 01 00</t>
  </si>
  <si>
    <t>Развитие социальной и инженерной инфраструктуры за счет средств бюджета субъекта Российской Федерации</t>
  </si>
  <si>
    <t>Долгосрочная целевая программа "Юная смена" по работе с детьми и молодежью на 2010-2012 годы</t>
  </si>
  <si>
    <t>922 84 00</t>
  </si>
  <si>
    <t>Обеспечение деятельности аппарата управления</t>
  </si>
  <si>
    <t>Мероприятия по проведению оздоровительной кампании детей</t>
  </si>
  <si>
    <t>432 00 00</t>
  </si>
  <si>
    <t>Оздоровление детей</t>
  </si>
  <si>
    <t>432 02 00</t>
  </si>
  <si>
    <t>Ведомственные целевые программы муниципальных образований</t>
  </si>
  <si>
    <t>Ведомственная целевая программа "Развитие образования Клетнянского района на 2011-2012 годы"</t>
  </si>
  <si>
    <t>796 13 00</t>
  </si>
  <si>
    <t>Ведомственная целевая программа "Безопасность образовательного учреждения на 2010-2012 годы"</t>
  </si>
  <si>
    <t>796 15 00</t>
  </si>
  <si>
    <t>ДЦП "Демографическое развитие Брянской области" (2011-2015 годы)</t>
  </si>
  <si>
    <t>922 05 00</t>
  </si>
  <si>
    <t>ДЦП "Развитие образования Брянской области" (2009-2013 годы)</t>
  </si>
  <si>
    <t>922 12 00</t>
  </si>
  <si>
    <t>ДЦП "Развитие физической культуры и спорта в Брянской области" (2010-2015 годы)</t>
  </si>
  <si>
    <t>922 38 00</t>
  </si>
  <si>
    <t>Долгосрочная целевая программа "Повышение безопасности дорожного движения в Клетнянском районе в 2007-2012 годах"</t>
  </si>
  <si>
    <t>922 86 00</t>
  </si>
  <si>
    <t>Культура, кинематография</t>
  </si>
  <si>
    <t>Учреждения культуры и мероприятия в сфере культуры и кинематографии</t>
  </si>
  <si>
    <t>Оплата коммунальных услуг здания центра культуры и досуга за счет средств, передаваемых из бюджета городского поселения</t>
  </si>
  <si>
    <t>440 99 04</t>
  </si>
  <si>
    <t>Обеспечение деятельности библиотечных учреждений за счет средств районного бюджета</t>
  </si>
  <si>
    <t>Обеспечение деятельности библиотечных учреждений за счет средств бюджетов поселений</t>
  </si>
  <si>
    <t>442 99 04</t>
  </si>
  <si>
    <t>Разовая материальная помощь к отпуску работникам библиотечных учреждений за счет средств бюджетов поселений</t>
  </si>
  <si>
    <t>442 99 05</t>
  </si>
  <si>
    <t>Расходные обязательства, выполнение которых осуществляется в том числе за счет межбюджетных субвенций из областного бюджета</t>
  </si>
  <si>
    <t>Оказание мер социальной поддержки по оплате жилья и коммунальных услуг отдельным категориям граждан, работающих в сельской местности и поселках городского типа на территории Брянской области</t>
  </si>
  <si>
    <t>Ведомственная целевая программа модернизации и эффективного развития библиотечного дела в Клетнянском районе на 2010-2014 годы</t>
  </si>
  <si>
    <t>796 12 00</t>
  </si>
  <si>
    <t>Ведомственная целевая программа "Культура Клетнянского района на 2010-2013 годы"</t>
  </si>
  <si>
    <t>796 14 00</t>
  </si>
  <si>
    <t>Предоставление субвенций поселениям (за исключением городских округов) на оказание мер социальной поддержки по оплате жилья и коммунальных услуг отдельным категориям граждан, работающих в сельской местности и поселках городского типа на территории Брянской области</t>
  </si>
  <si>
    <t>521 02 12</t>
  </si>
  <si>
    <t>Долгосрочная целевая программа "Комплексные меры противодействия злоупотреблению наркотиками и их незаконному обороту" (2011-2013 годы)</t>
  </si>
  <si>
    <t>922 88 00</t>
  </si>
  <si>
    <t>Обеспечение сохранности жилых помещений, закрепленных за детьми-сиротами и детьми, оставшимися без попечения родителей</t>
  </si>
  <si>
    <t>505 36 05</t>
  </si>
  <si>
    <t>505 83 00</t>
  </si>
  <si>
    <t>Долгосрочная целевая программа "Обеспечение жильем молодых семей Клетнянского района на 2011-2015 годы"</t>
  </si>
  <si>
    <t>922 90 00</t>
  </si>
  <si>
    <t>Компенсация части родительской платы за содержание ребенка в образовательных учреждениях</t>
  </si>
  <si>
    <t>Осуществление деятельности по профилактике безнадзорности и правонарушений несовершеннолетних</t>
  </si>
  <si>
    <t>521 02 03</t>
  </si>
  <si>
    <t xml:space="preserve">Организация и осуществление деятельности по опеке и попечительству </t>
  </si>
  <si>
    <t>521 02 20</t>
  </si>
  <si>
    <t>Долгосрочная целевая программа "Демографическое развитие Клетнянского района на 2010-2012 годы"</t>
  </si>
  <si>
    <t>922 85 00</t>
  </si>
  <si>
    <t>Проведение спортивных мероприятий за счет средств бюджетов поселений</t>
  </si>
  <si>
    <t>Межбюджетные трансферты общего характера бюджетам субъектов Российской Федерации и муниципальных образований</t>
  </si>
  <si>
    <t>Предоставление дотаций поселениям на выравнивание бюджетной обеспеченности</t>
  </si>
  <si>
    <t>521 02 01</t>
  </si>
  <si>
    <t>Поддержка мер по обеспечению сбалансированности бюджетов поселений</t>
  </si>
  <si>
    <t>521 02 02</t>
  </si>
  <si>
    <t>программы</t>
  </si>
  <si>
    <t>Ожидаемое исполнение доходов районного бюджета в 2011 году</t>
  </si>
  <si>
    <t xml:space="preserve">Долгосрочная целевая программа "Жилище" (2011-2015 годы) </t>
  </si>
  <si>
    <t>922 04 00</t>
  </si>
  <si>
    <t>Подпрограмма "Обеспечение жильем молодых семей"(2011-2015 годы)</t>
  </si>
  <si>
    <t>922 04 03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</si>
  <si>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</si>
  <si>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</si>
  <si>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Оказание финансовой помощи муниципальным районам (городским округам) на исполнение полномочий в части оплаты труда работников дошкольных образовательных учреждений</t>
  </si>
  <si>
    <t>521 01 10</t>
  </si>
  <si>
    <t>Долгосрочная целевая программа "Культура Брянщины" (2011-2015 годы)</t>
  </si>
  <si>
    <t>922 11 00</t>
  </si>
  <si>
    <t>010</t>
  </si>
  <si>
    <t xml:space="preserve">04 </t>
  </si>
  <si>
    <t>Фонд софинансирования</t>
  </si>
  <si>
    <t xml:space="preserve">Ожидаемое исполнение расходов райооного бюджета за 2011 год по разделам и подразделам, целевым статьям и видам расходов функциональной классификации расходов бюджетов Российской Федерации </t>
  </si>
  <si>
    <t>КВСР</t>
  </si>
  <si>
    <t>Администрация Клетнянского района</t>
  </si>
  <si>
    <t xml:space="preserve">Культура, кинематография </t>
  </si>
  <si>
    <t>920 00 00</t>
  </si>
  <si>
    <t>Управление по делам образования, демографии, молодежной политике, ФК и массовому спорту</t>
  </si>
  <si>
    <t>Долгосрочная целевая программа "Юная смена" по работе с детьми и молодежью на 2011-2012 годы</t>
  </si>
  <si>
    <t>Ведомственная целевая программа "Развитие образования Клетнянского района на  2011-2012 годы</t>
  </si>
  <si>
    <t>Финансовое управление администрации Клетнянского района</t>
  </si>
  <si>
    <t>Уплата налогов в связи с отменой льгот финансового управления</t>
  </si>
  <si>
    <t>Всего расходов</t>
  </si>
  <si>
    <t>КБК</t>
  </si>
  <si>
    <t>НАИМЕНОВАНИЕ</t>
  </si>
  <si>
    <t>853 01 05 00 00 00 0000 000</t>
  </si>
  <si>
    <t>Изменение остатков средств на счетах по учету средств бюджета</t>
  </si>
  <si>
    <t>853 01 05 00 00 00 0000 500</t>
  </si>
  <si>
    <t>Увеличение остатков средств бюджетов</t>
  </si>
  <si>
    <t>853 01 05 02 00 00 0000 500</t>
  </si>
  <si>
    <t>Увеличение прочих остатков средств бюджетов</t>
  </si>
  <si>
    <t>853 01 05 02 01 00 0000 510</t>
  </si>
  <si>
    <t xml:space="preserve">Увеличение прочих остатков денежных средств бюджетов </t>
  </si>
  <si>
    <t>853 01 05 02 01 05 0000 510</t>
  </si>
  <si>
    <t>Увеличение прочих остатков денежных средств бюджетов муниципальных районов</t>
  </si>
  <si>
    <t>853 01 05 00 00 00 0000 600</t>
  </si>
  <si>
    <t>Уменьшение остатков средств бюджетов</t>
  </si>
  <si>
    <t>853 01 05 02 00 00 0000 600</t>
  </si>
  <si>
    <t>Уменьшение прочих остатков средств бюджетов</t>
  </si>
  <si>
    <t>853 01 05 02 01 00 0000 610</t>
  </si>
  <si>
    <t>Уменьшение прочих остатков денежных средств бюджетов</t>
  </si>
  <si>
    <t>853 01 05 02 01 05 0000 610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</si>
  <si>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</si>
  <si>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</si>
  <si>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Ожидаемое исполнение по источникам внутреннего финансирования дефицита районного бюджета за 2011 год</t>
  </si>
  <si>
    <t xml:space="preserve">Ожидаемое исполнение районного бюджета за 2011 год по ведомственной структуре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</si>
</sst>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i/>
      <sz val="11"/>
      <name val="Arial Cyr"/>
      <charset val="204"/>
    </font>
    <font>
      <b/>
      <i/>
      <sz val="8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sz val="11"/>
      <name val="Bookman Old Style"/>
      <family val="1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164" fontId="1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 wrapText="1"/>
    </xf>
    <xf numFmtId="166" fontId="1" fillId="0" borderId="0" xfId="0" applyNumberFormat="1" applyFont="1" applyFill="1" applyAlignment="1">
      <alignment vertical="top"/>
    </xf>
    <xf numFmtId="2" fontId="1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10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16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49" fontId="13" fillId="0" borderId="0" xfId="0" applyNumberFormat="1" applyFont="1" applyFill="1" applyBorder="1" applyAlignment="1">
      <alignment horizontal="center" vertical="top"/>
    </xf>
    <xf numFmtId="49" fontId="14" fillId="0" borderId="0" xfId="0" applyNumberFormat="1" applyFont="1" applyFill="1" applyBorder="1" applyAlignment="1">
      <alignment horizontal="center" vertical="top"/>
    </xf>
    <xf numFmtId="164" fontId="15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center" vertical="top"/>
    </xf>
    <xf numFmtId="49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49" fontId="10" fillId="0" borderId="0" xfId="0" applyNumberFormat="1" applyFont="1" applyFill="1" applyAlignment="1">
      <alignment horizontal="center" vertical="top"/>
    </xf>
    <xf numFmtId="49" fontId="11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0" fontId="19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justify"/>
    </xf>
    <xf numFmtId="0" fontId="1" fillId="0" borderId="1" xfId="0" applyFont="1" applyBorder="1" applyAlignment="1">
      <alignment vertical="justify"/>
    </xf>
    <xf numFmtId="165" fontId="8" fillId="0" borderId="1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horizontal="right" vertical="top"/>
    </xf>
    <xf numFmtId="0" fontId="23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164" fontId="23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top"/>
    </xf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0" xfId="0" applyFont="1" applyFill="1"/>
    <xf numFmtId="3" fontId="1" fillId="0" borderId="0" xfId="0" applyNumberFormat="1" applyFont="1" applyFill="1" applyAlignment="1">
      <alignment vertical="top"/>
    </xf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0" xfId="0" applyFont="1" applyFill="1"/>
    <xf numFmtId="164" fontId="0" fillId="0" borderId="0" xfId="0" applyNumberFormat="1" applyFill="1"/>
    <xf numFmtId="49" fontId="0" fillId="0" borderId="0" xfId="0" applyNumberFormat="1" applyFill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0" fontId="25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-6\&#1052;&#1086;&#1080;%20&#1076;&#1086;&#1082;&#1091;&#1084;&#1077;&#1085;&#1090;&#1099;\&#1052;&#1086;&#1080;%20&#1076;&#1086;&#1082;&#1091;&#1084;&#1077;&#1085;&#1090;&#1099;\&#1041;&#1102;&#1076;&#1078;&#1077;&#1090;%202011\&#1052;&#1086;&#1103;%20&#1088;&#1072;&#1089;&#1096;&#1080;&#1088;&#1077;&#1085;&#1085;&#1072;&#1103;%202011\&#1052;&#1086;&#1103;%20&#1088;&#1072;&#1089;&#1096;.2011%20&#1085;&#1086;&#1074;&#1072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ы"/>
      <sheetName val="Обл."/>
      <sheetName val="211,213 Ап-т"/>
      <sheetName val="211,213 др."/>
      <sheetName val="212"/>
      <sheetName val="221"/>
      <sheetName val="222"/>
      <sheetName val="223"/>
      <sheetName val="224"/>
      <sheetName val="225"/>
      <sheetName val="226"/>
      <sheetName val="240"/>
      <sheetName val="251"/>
      <sheetName val="260"/>
      <sheetName val="290"/>
      <sheetName val="290 налоги"/>
      <sheetName val="310"/>
      <sheetName val="340"/>
      <sheetName val="Свод"/>
      <sheetName val="Функц."/>
      <sheetName val="Вед."/>
      <sheetName val="Обл.дох."/>
      <sheetName val="нормат.школам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6">
          <cell r="J36">
            <v>636165.49127999996</v>
          </cell>
        </row>
        <row r="70">
          <cell r="K70">
            <v>476609.34324000002</v>
          </cell>
          <cell r="L70">
            <v>600</v>
          </cell>
          <cell r="M70">
            <v>239898.79</v>
          </cell>
        </row>
        <row r="103">
          <cell r="K103">
            <v>7286227.4199959598</v>
          </cell>
          <cell r="L103">
            <v>179000</v>
          </cell>
        </row>
        <row r="136">
          <cell r="K136">
            <v>235000.00200000001</v>
          </cell>
          <cell r="L136">
            <v>234999.99824000002</v>
          </cell>
          <cell r="M136">
            <v>235000.00255999999</v>
          </cell>
          <cell r="N136">
            <v>117500</v>
          </cell>
        </row>
        <row r="197">
          <cell r="K197">
            <v>100000</v>
          </cell>
          <cell r="L197">
            <v>300000</v>
          </cell>
        </row>
        <row r="202">
          <cell r="J202">
            <v>100000</v>
          </cell>
        </row>
        <row r="266">
          <cell r="J266">
            <v>290000</v>
          </cell>
        </row>
        <row r="292">
          <cell r="J292">
            <v>0</v>
          </cell>
        </row>
        <row r="333">
          <cell r="K333">
            <v>2813468.1005899999</v>
          </cell>
          <cell r="M333">
            <v>3800</v>
          </cell>
        </row>
        <row r="398">
          <cell r="J398">
            <v>10000</v>
          </cell>
        </row>
        <row r="431">
          <cell r="J431">
            <v>414049.42294080002</v>
          </cell>
        </row>
        <row r="497">
          <cell r="L497">
            <v>55000</v>
          </cell>
          <cell r="M497">
            <v>660000</v>
          </cell>
        </row>
        <row r="562">
          <cell r="J562">
            <v>20000</v>
          </cell>
        </row>
        <row r="629">
          <cell r="J629">
            <v>46582000</v>
          </cell>
        </row>
        <row r="661">
          <cell r="Q661">
            <v>1430100</v>
          </cell>
        </row>
        <row r="693">
          <cell r="K693">
            <v>12000</v>
          </cell>
          <cell r="L693">
            <v>6000</v>
          </cell>
          <cell r="R693">
            <v>6000</v>
          </cell>
          <cell r="S693">
            <v>9000</v>
          </cell>
          <cell r="T693">
            <v>0</v>
          </cell>
          <cell r="U693">
            <v>3000</v>
          </cell>
        </row>
        <row r="725">
          <cell r="K725">
            <v>533810.16</v>
          </cell>
          <cell r="L725">
            <v>182276.64</v>
          </cell>
          <cell r="M725">
            <v>65098.8</v>
          </cell>
          <cell r="P725">
            <v>104158.08</v>
          </cell>
          <cell r="Q725">
            <v>2903404.3200000003</v>
          </cell>
          <cell r="R725">
            <v>911383.2</v>
          </cell>
          <cell r="S725">
            <v>937422.72000000009</v>
          </cell>
          <cell r="T725">
            <v>403612.56</v>
          </cell>
          <cell r="U725">
            <v>351533.52</v>
          </cell>
        </row>
        <row r="823">
          <cell r="K823">
            <v>198396</v>
          </cell>
          <cell r="L823">
            <v>48096</v>
          </cell>
          <cell r="M823">
            <v>8016</v>
          </cell>
          <cell r="N823">
            <v>22044</v>
          </cell>
          <cell r="P823">
            <v>18036</v>
          </cell>
          <cell r="Q823">
            <v>531060</v>
          </cell>
          <cell r="R823">
            <v>148296</v>
          </cell>
          <cell r="S823">
            <v>158316</v>
          </cell>
          <cell r="T823">
            <v>74148</v>
          </cell>
          <cell r="U823">
            <v>100200</v>
          </cell>
        </row>
        <row r="855">
          <cell r="K855">
            <v>10837073.791343</v>
          </cell>
        </row>
        <row r="887">
          <cell r="K887">
            <v>500000</v>
          </cell>
          <cell r="S887">
            <v>265000</v>
          </cell>
        </row>
        <row r="922">
          <cell r="K922">
            <v>2236500</v>
          </cell>
          <cell r="Q922">
            <v>496682.28000000009</v>
          </cell>
          <cell r="R922">
            <v>628077.24</v>
          </cell>
          <cell r="S922">
            <v>725568.84000000008</v>
          </cell>
          <cell r="T922">
            <v>141984</v>
          </cell>
          <cell r="U922">
            <v>114161.40000000001</v>
          </cell>
        </row>
        <row r="954">
          <cell r="K954">
            <v>51000</v>
          </cell>
          <cell r="L954">
            <v>42000</v>
          </cell>
          <cell r="N954">
            <v>12000</v>
          </cell>
          <cell r="P954">
            <v>17500</v>
          </cell>
          <cell r="Q954">
            <v>341000</v>
          </cell>
          <cell r="R954">
            <v>22300</v>
          </cell>
          <cell r="S954">
            <v>17000</v>
          </cell>
          <cell r="T954">
            <v>27600</v>
          </cell>
          <cell r="U954">
            <v>545000</v>
          </cell>
        </row>
        <row r="987">
          <cell r="Q987">
            <v>5438035.7320490004</v>
          </cell>
          <cell r="R987">
            <v>1365178.7673599999</v>
          </cell>
          <cell r="S987">
            <v>1620096.3535000002</v>
          </cell>
          <cell r="T987">
            <v>972789.71004239982</v>
          </cell>
          <cell r="U987">
            <v>1130170.1810999999</v>
          </cell>
        </row>
        <row r="1019">
          <cell r="U1019">
            <v>89600</v>
          </cell>
        </row>
        <row r="1051">
          <cell r="L1051">
            <v>3785925.4811750003</v>
          </cell>
          <cell r="P1051">
            <v>1315577.1485215002</v>
          </cell>
        </row>
        <row r="1083">
          <cell r="J1083">
            <v>379723.56345000007</v>
          </cell>
        </row>
        <row r="1115">
          <cell r="J1115">
            <v>3293828.4791000006</v>
          </cell>
        </row>
        <row r="1147">
          <cell r="J1147">
            <v>539685.30000000005</v>
          </cell>
        </row>
        <row r="1180">
          <cell r="L1180">
            <v>5000</v>
          </cell>
          <cell r="N1180">
            <v>90000</v>
          </cell>
        </row>
        <row r="1245">
          <cell r="M1245">
            <v>99885.462599999999</v>
          </cell>
          <cell r="N1245">
            <v>2004</v>
          </cell>
          <cell r="O1245">
            <v>324698.74525000004</v>
          </cell>
          <cell r="P1245">
            <v>6012</v>
          </cell>
        </row>
        <row r="1305">
          <cell r="K1305">
            <v>227500</v>
          </cell>
          <cell r="L1305">
            <v>70000</v>
          </cell>
        </row>
        <row r="1311">
          <cell r="K1311">
            <v>20000</v>
          </cell>
          <cell r="L1311">
            <v>20000</v>
          </cell>
          <cell r="M1311">
            <v>10000</v>
          </cell>
        </row>
        <row r="1343">
          <cell r="J1343">
            <v>309304.69680000003</v>
          </cell>
        </row>
        <row r="1509">
          <cell r="J1509">
            <v>40000</v>
          </cell>
        </row>
        <row r="1575">
          <cell r="K1575">
            <v>1257410.3999999999</v>
          </cell>
          <cell r="L1575">
            <v>25000</v>
          </cell>
          <cell r="M1575">
            <v>275000</v>
          </cell>
          <cell r="N1575">
            <v>130700</v>
          </cell>
        </row>
        <row r="1608">
          <cell r="K1608">
            <v>142500</v>
          </cell>
          <cell r="L1608">
            <v>2230400</v>
          </cell>
          <cell r="M1608">
            <v>2007500</v>
          </cell>
          <cell r="N1608">
            <v>737400</v>
          </cell>
          <cell r="O1608">
            <v>38200</v>
          </cell>
        </row>
        <row r="1641">
          <cell r="K1641">
            <v>4654000</v>
          </cell>
          <cell r="L1641">
            <v>19435000</v>
          </cell>
          <cell r="M1641">
            <v>297900</v>
          </cell>
          <cell r="N1641">
            <v>156000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B14" sqref="B14"/>
    </sheetView>
  </sheetViews>
  <sheetFormatPr defaultRowHeight="12.75" x14ac:dyDescent="0.25"/>
  <cols>
    <col min="1" max="1" width="21.28515625" style="43" customWidth="1"/>
    <col min="2" max="2" width="73.7109375" style="1" customWidth="1"/>
    <col min="3" max="3" width="13.7109375" style="1" hidden="1" customWidth="1"/>
    <col min="4" max="4" width="10.7109375" style="1" hidden="1" customWidth="1"/>
    <col min="5" max="5" width="12.42578125" style="1" customWidth="1"/>
    <col min="6" max="250" width="9.140625" style="1"/>
    <col min="251" max="251" width="21.28515625" style="1" customWidth="1"/>
    <col min="252" max="252" width="73.7109375" style="1" customWidth="1"/>
    <col min="253" max="254" width="0" style="1" hidden="1" customWidth="1"/>
    <col min="255" max="255" width="11.140625" style="1" customWidth="1"/>
    <col min="256" max="256" width="9.140625" style="1"/>
    <col min="257" max="257" width="11.140625" style="1" customWidth="1"/>
    <col min="258" max="258" width="8.5703125" style="1" customWidth="1"/>
    <col min="259" max="259" width="6.140625" style="1" customWidth="1"/>
    <col min="260" max="506" width="9.140625" style="1"/>
    <col min="507" max="507" width="21.28515625" style="1" customWidth="1"/>
    <col min="508" max="508" width="73.7109375" style="1" customWidth="1"/>
    <col min="509" max="510" width="0" style="1" hidden="1" customWidth="1"/>
    <col min="511" max="511" width="11.140625" style="1" customWidth="1"/>
    <col min="512" max="512" width="9.140625" style="1"/>
    <col min="513" max="513" width="11.140625" style="1" customWidth="1"/>
    <col min="514" max="514" width="8.5703125" style="1" customWidth="1"/>
    <col min="515" max="515" width="6.140625" style="1" customWidth="1"/>
    <col min="516" max="762" width="9.140625" style="1"/>
    <col min="763" max="763" width="21.28515625" style="1" customWidth="1"/>
    <col min="764" max="764" width="73.7109375" style="1" customWidth="1"/>
    <col min="765" max="766" width="0" style="1" hidden="1" customWidth="1"/>
    <col min="767" max="767" width="11.140625" style="1" customWidth="1"/>
    <col min="768" max="768" width="9.140625" style="1"/>
    <col min="769" max="769" width="11.140625" style="1" customWidth="1"/>
    <col min="770" max="770" width="8.5703125" style="1" customWidth="1"/>
    <col min="771" max="771" width="6.140625" style="1" customWidth="1"/>
    <col min="772" max="1018" width="9.140625" style="1"/>
    <col min="1019" max="1019" width="21.28515625" style="1" customWidth="1"/>
    <col min="1020" max="1020" width="73.7109375" style="1" customWidth="1"/>
    <col min="1021" max="1022" width="0" style="1" hidden="1" customWidth="1"/>
    <col min="1023" max="1023" width="11.140625" style="1" customWidth="1"/>
    <col min="1024" max="1024" width="9.140625" style="1"/>
    <col min="1025" max="1025" width="11.140625" style="1" customWidth="1"/>
    <col min="1026" max="1026" width="8.5703125" style="1" customWidth="1"/>
    <col min="1027" max="1027" width="6.140625" style="1" customWidth="1"/>
    <col min="1028" max="1274" width="9.140625" style="1"/>
    <col min="1275" max="1275" width="21.28515625" style="1" customWidth="1"/>
    <col min="1276" max="1276" width="73.7109375" style="1" customWidth="1"/>
    <col min="1277" max="1278" width="0" style="1" hidden="1" customWidth="1"/>
    <col min="1279" max="1279" width="11.140625" style="1" customWidth="1"/>
    <col min="1280" max="1280" width="9.140625" style="1"/>
    <col min="1281" max="1281" width="11.140625" style="1" customWidth="1"/>
    <col min="1282" max="1282" width="8.5703125" style="1" customWidth="1"/>
    <col min="1283" max="1283" width="6.140625" style="1" customWidth="1"/>
    <col min="1284" max="1530" width="9.140625" style="1"/>
    <col min="1531" max="1531" width="21.28515625" style="1" customWidth="1"/>
    <col min="1532" max="1532" width="73.7109375" style="1" customWidth="1"/>
    <col min="1533" max="1534" width="0" style="1" hidden="1" customWidth="1"/>
    <col min="1535" max="1535" width="11.140625" style="1" customWidth="1"/>
    <col min="1536" max="1536" width="9.140625" style="1"/>
    <col min="1537" max="1537" width="11.140625" style="1" customWidth="1"/>
    <col min="1538" max="1538" width="8.5703125" style="1" customWidth="1"/>
    <col min="1539" max="1539" width="6.140625" style="1" customWidth="1"/>
    <col min="1540" max="1786" width="9.140625" style="1"/>
    <col min="1787" max="1787" width="21.28515625" style="1" customWidth="1"/>
    <col min="1788" max="1788" width="73.7109375" style="1" customWidth="1"/>
    <col min="1789" max="1790" width="0" style="1" hidden="1" customWidth="1"/>
    <col min="1791" max="1791" width="11.140625" style="1" customWidth="1"/>
    <col min="1792" max="1792" width="9.140625" style="1"/>
    <col min="1793" max="1793" width="11.140625" style="1" customWidth="1"/>
    <col min="1794" max="1794" width="8.5703125" style="1" customWidth="1"/>
    <col min="1795" max="1795" width="6.140625" style="1" customWidth="1"/>
    <col min="1796" max="2042" width="9.140625" style="1"/>
    <col min="2043" max="2043" width="21.28515625" style="1" customWidth="1"/>
    <col min="2044" max="2044" width="73.7109375" style="1" customWidth="1"/>
    <col min="2045" max="2046" width="0" style="1" hidden="1" customWidth="1"/>
    <col min="2047" max="2047" width="11.140625" style="1" customWidth="1"/>
    <col min="2048" max="2048" width="9.140625" style="1"/>
    <col min="2049" max="2049" width="11.140625" style="1" customWidth="1"/>
    <col min="2050" max="2050" width="8.5703125" style="1" customWidth="1"/>
    <col min="2051" max="2051" width="6.140625" style="1" customWidth="1"/>
    <col min="2052" max="2298" width="9.140625" style="1"/>
    <col min="2299" max="2299" width="21.28515625" style="1" customWidth="1"/>
    <col min="2300" max="2300" width="73.7109375" style="1" customWidth="1"/>
    <col min="2301" max="2302" width="0" style="1" hidden="1" customWidth="1"/>
    <col min="2303" max="2303" width="11.140625" style="1" customWidth="1"/>
    <col min="2304" max="2304" width="9.140625" style="1"/>
    <col min="2305" max="2305" width="11.140625" style="1" customWidth="1"/>
    <col min="2306" max="2306" width="8.5703125" style="1" customWidth="1"/>
    <col min="2307" max="2307" width="6.140625" style="1" customWidth="1"/>
    <col min="2308" max="2554" width="9.140625" style="1"/>
    <col min="2555" max="2555" width="21.28515625" style="1" customWidth="1"/>
    <col min="2556" max="2556" width="73.7109375" style="1" customWidth="1"/>
    <col min="2557" max="2558" width="0" style="1" hidden="1" customWidth="1"/>
    <col min="2559" max="2559" width="11.140625" style="1" customWidth="1"/>
    <col min="2560" max="2560" width="9.140625" style="1"/>
    <col min="2561" max="2561" width="11.140625" style="1" customWidth="1"/>
    <col min="2562" max="2562" width="8.5703125" style="1" customWidth="1"/>
    <col min="2563" max="2563" width="6.140625" style="1" customWidth="1"/>
    <col min="2564" max="2810" width="9.140625" style="1"/>
    <col min="2811" max="2811" width="21.28515625" style="1" customWidth="1"/>
    <col min="2812" max="2812" width="73.7109375" style="1" customWidth="1"/>
    <col min="2813" max="2814" width="0" style="1" hidden="1" customWidth="1"/>
    <col min="2815" max="2815" width="11.140625" style="1" customWidth="1"/>
    <col min="2816" max="2816" width="9.140625" style="1"/>
    <col min="2817" max="2817" width="11.140625" style="1" customWidth="1"/>
    <col min="2818" max="2818" width="8.5703125" style="1" customWidth="1"/>
    <col min="2819" max="2819" width="6.140625" style="1" customWidth="1"/>
    <col min="2820" max="3066" width="9.140625" style="1"/>
    <col min="3067" max="3067" width="21.28515625" style="1" customWidth="1"/>
    <col min="3068" max="3068" width="73.7109375" style="1" customWidth="1"/>
    <col min="3069" max="3070" width="0" style="1" hidden="1" customWidth="1"/>
    <col min="3071" max="3071" width="11.140625" style="1" customWidth="1"/>
    <col min="3072" max="3072" width="9.140625" style="1"/>
    <col min="3073" max="3073" width="11.140625" style="1" customWidth="1"/>
    <col min="3074" max="3074" width="8.5703125" style="1" customWidth="1"/>
    <col min="3075" max="3075" width="6.140625" style="1" customWidth="1"/>
    <col min="3076" max="3322" width="9.140625" style="1"/>
    <col min="3323" max="3323" width="21.28515625" style="1" customWidth="1"/>
    <col min="3324" max="3324" width="73.7109375" style="1" customWidth="1"/>
    <col min="3325" max="3326" width="0" style="1" hidden="1" customWidth="1"/>
    <col min="3327" max="3327" width="11.140625" style="1" customWidth="1"/>
    <col min="3328" max="3328" width="9.140625" style="1"/>
    <col min="3329" max="3329" width="11.140625" style="1" customWidth="1"/>
    <col min="3330" max="3330" width="8.5703125" style="1" customWidth="1"/>
    <col min="3331" max="3331" width="6.140625" style="1" customWidth="1"/>
    <col min="3332" max="3578" width="9.140625" style="1"/>
    <col min="3579" max="3579" width="21.28515625" style="1" customWidth="1"/>
    <col min="3580" max="3580" width="73.7109375" style="1" customWidth="1"/>
    <col min="3581" max="3582" width="0" style="1" hidden="1" customWidth="1"/>
    <col min="3583" max="3583" width="11.140625" style="1" customWidth="1"/>
    <col min="3584" max="3584" width="9.140625" style="1"/>
    <col min="3585" max="3585" width="11.140625" style="1" customWidth="1"/>
    <col min="3586" max="3586" width="8.5703125" style="1" customWidth="1"/>
    <col min="3587" max="3587" width="6.140625" style="1" customWidth="1"/>
    <col min="3588" max="3834" width="9.140625" style="1"/>
    <col min="3835" max="3835" width="21.28515625" style="1" customWidth="1"/>
    <col min="3836" max="3836" width="73.7109375" style="1" customWidth="1"/>
    <col min="3837" max="3838" width="0" style="1" hidden="1" customWidth="1"/>
    <col min="3839" max="3839" width="11.140625" style="1" customWidth="1"/>
    <col min="3840" max="3840" width="9.140625" style="1"/>
    <col min="3841" max="3841" width="11.140625" style="1" customWidth="1"/>
    <col min="3842" max="3842" width="8.5703125" style="1" customWidth="1"/>
    <col min="3843" max="3843" width="6.140625" style="1" customWidth="1"/>
    <col min="3844" max="4090" width="9.140625" style="1"/>
    <col min="4091" max="4091" width="21.28515625" style="1" customWidth="1"/>
    <col min="4092" max="4092" width="73.7109375" style="1" customWidth="1"/>
    <col min="4093" max="4094" width="0" style="1" hidden="1" customWidth="1"/>
    <col min="4095" max="4095" width="11.140625" style="1" customWidth="1"/>
    <col min="4096" max="4096" width="9.140625" style="1"/>
    <col min="4097" max="4097" width="11.140625" style="1" customWidth="1"/>
    <col min="4098" max="4098" width="8.5703125" style="1" customWidth="1"/>
    <col min="4099" max="4099" width="6.140625" style="1" customWidth="1"/>
    <col min="4100" max="4346" width="9.140625" style="1"/>
    <col min="4347" max="4347" width="21.28515625" style="1" customWidth="1"/>
    <col min="4348" max="4348" width="73.7109375" style="1" customWidth="1"/>
    <col min="4349" max="4350" width="0" style="1" hidden="1" customWidth="1"/>
    <col min="4351" max="4351" width="11.140625" style="1" customWidth="1"/>
    <col min="4352" max="4352" width="9.140625" style="1"/>
    <col min="4353" max="4353" width="11.140625" style="1" customWidth="1"/>
    <col min="4354" max="4354" width="8.5703125" style="1" customWidth="1"/>
    <col min="4355" max="4355" width="6.140625" style="1" customWidth="1"/>
    <col min="4356" max="4602" width="9.140625" style="1"/>
    <col min="4603" max="4603" width="21.28515625" style="1" customWidth="1"/>
    <col min="4604" max="4604" width="73.7109375" style="1" customWidth="1"/>
    <col min="4605" max="4606" width="0" style="1" hidden="1" customWidth="1"/>
    <col min="4607" max="4607" width="11.140625" style="1" customWidth="1"/>
    <col min="4608" max="4608" width="9.140625" style="1"/>
    <col min="4609" max="4609" width="11.140625" style="1" customWidth="1"/>
    <col min="4610" max="4610" width="8.5703125" style="1" customWidth="1"/>
    <col min="4611" max="4611" width="6.140625" style="1" customWidth="1"/>
    <col min="4612" max="4858" width="9.140625" style="1"/>
    <col min="4859" max="4859" width="21.28515625" style="1" customWidth="1"/>
    <col min="4860" max="4860" width="73.7109375" style="1" customWidth="1"/>
    <col min="4861" max="4862" width="0" style="1" hidden="1" customWidth="1"/>
    <col min="4863" max="4863" width="11.140625" style="1" customWidth="1"/>
    <col min="4864" max="4864" width="9.140625" style="1"/>
    <col min="4865" max="4865" width="11.140625" style="1" customWidth="1"/>
    <col min="4866" max="4866" width="8.5703125" style="1" customWidth="1"/>
    <col min="4867" max="4867" width="6.140625" style="1" customWidth="1"/>
    <col min="4868" max="5114" width="9.140625" style="1"/>
    <col min="5115" max="5115" width="21.28515625" style="1" customWidth="1"/>
    <col min="5116" max="5116" width="73.7109375" style="1" customWidth="1"/>
    <col min="5117" max="5118" width="0" style="1" hidden="1" customWidth="1"/>
    <col min="5119" max="5119" width="11.140625" style="1" customWidth="1"/>
    <col min="5120" max="5120" width="9.140625" style="1"/>
    <col min="5121" max="5121" width="11.140625" style="1" customWidth="1"/>
    <col min="5122" max="5122" width="8.5703125" style="1" customWidth="1"/>
    <col min="5123" max="5123" width="6.140625" style="1" customWidth="1"/>
    <col min="5124" max="5370" width="9.140625" style="1"/>
    <col min="5371" max="5371" width="21.28515625" style="1" customWidth="1"/>
    <col min="5372" max="5372" width="73.7109375" style="1" customWidth="1"/>
    <col min="5373" max="5374" width="0" style="1" hidden="1" customWidth="1"/>
    <col min="5375" max="5375" width="11.140625" style="1" customWidth="1"/>
    <col min="5376" max="5376" width="9.140625" style="1"/>
    <col min="5377" max="5377" width="11.140625" style="1" customWidth="1"/>
    <col min="5378" max="5378" width="8.5703125" style="1" customWidth="1"/>
    <col min="5379" max="5379" width="6.140625" style="1" customWidth="1"/>
    <col min="5380" max="5626" width="9.140625" style="1"/>
    <col min="5627" max="5627" width="21.28515625" style="1" customWidth="1"/>
    <col min="5628" max="5628" width="73.7109375" style="1" customWidth="1"/>
    <col min="5629" max="5630" width="0" style="1" hidden="1" customWidth="1"/>
    <col min="5631" max="5631" width="11.140625" style="1" customWidth="1"/>
    <col min="5632" max="5632" width="9.140625" style="1"/>
    <col min="5633" max="5633" width="11.140625" style="1" customWidth="1"/>
    <col min="5634" max="5634" width="8.5703125" style="1" customWidth="1"/>
    <col min="5635" max="5635" width="6.140625" style="1" customWidth="1"/>
    <col min="5636" max="5882" width="9.140625" style="1"/>
    <col min="5883" max="5883" width="21.28515625" style="1" customWidth="1"/>
    <col min="5884" max="5884" width="73.7109375" style="1" customWidth="1"/>
    <col min="5885" max="5886" width="0" style="1" hidden="1" customWidth="1"/>
    <col min="5887" max="5887" width="11.140625" style="1" customWidth="1"/>
    <col min="5888" max="5888" width="9.140625" style="1"/>
    <col min="5889" max="5889" width="11.140625" style="1" customWidth="1"/>
    <col min="5890" max="5890" width="8.5703125" style="1" customWidth="1"/>
    <col min="5891" max="5891" width="6.140625" style="1" customWidth="1"/>
    <col min="5892" max="6138" width="9.140625" style="1"/>
    <col min="6139" max="6139" width="21.28515625" style="1" customWidth="1"/>
    <col min="6140" max="6140" width="73.7109375" style="1" customWidth="1"/>
    <col min="6141" max="6142" width="0" style="1" hidden="1" customWidth="1"/>
    <col min="6143" max="6143" width="11.140625" style="1" customWidth="1"/>
    <col min="6144" max="6144" width="9.140625" style="1"/>
    <col min="6145" max="6145" width="11.140625" style="1" customWidth="1"/>
    <col min="6146" max="6146" width="8.5703125" style="1" customWidth="1"/>
    <col min="6147" max="6147" width="6.140625" style="1" customWidth="1"/>
    <col min="6148" max="6394" width="9.140625" style="1"/>
    <col min="6395" max="6395" width="21.28515625" style="1" customWidth="1"/>
    <col min="6396" max="6396" width="73.7109375" style="1" customWidth="1"/>
    <col min="6397" max="6398" width="0" style="1" hidden="1" customWidth="1"/>
    <col min="6399" max="6399" width="11.140625" style="1" customWidth="1"/>
    <col min="6400" max="6400" width="9.140625" style="1"/>
    <col min="6401" max="6401" width="11.140625" style="1" customWidth="1"/>
    <col min="6402" max="6402" width="8.5703125" style="1" customWidth="1"/>
    <col min="6403" max="6403" width="6.140625" style="1" customWidth="1"/>
    <col min="6404" max="6650" width="9.140625" style="1"/>
    <col min="6651" max="6651" width="21.28515625" style="1" customWidth="1"/>
    <col min="6652" max="6652" width="73.7109375" style="1" customWidth="1"/>
    <col min="6653" max="6654" width="0" style="1" hidden="1" customWidth="1"/>
    <col min="6655" max="6655" width="11.140625" style="1" customWidth="1"/>
    <col min="6656" max="6656" width="9.140625" style="1"/>
    <col min="6657" max="6657" width="11.140625" style="1" customWidth="1"/>
    <col min="6658" max="6658" width="8.5703125" style="1" customWidth="1"/>
    <col min="6659" max="6659" width="6.140625" style="1" customWidth="1"/>
    <col min="6660" max="6906" width="9.140625" style="1"/>
    <col min="6907" max="6907" width="21.28515625" style="1" customWidth="1"/>
    <col min="6908" max="6908" width="73.7109375" style="1" customWidth="1"/>
    <col min="6909" max="6910" width="0" style="1" hidden="1" customWidth="1"/>
    <col min="6911" max="6911" width="11.140625" style="1" customWidth="1"/>
    <col min="6912" max="6912" width="9.140625" style="1"/>
    <col min="6913" max="6913" width="11.140625" style="1" customWidth="1"/>
    <col min="6914" max="6914" width="8.5703125" style="1" customWidth="1"/>
    <col min="6915" max="6915" width="6.140625" style="1" customWidth="1"/>
    <col min="6916" max="7162" width="9.140625" style="1"/>
    <col min="7163" max="7163" width="21.28515625" style="1" customWidth="1"/>
    <col min="7164" max="7164" width="73.7109375" style="1" customWidth="1"/>
    <col min="7165" max="7166" width="0" style="1" hidden="1" customWidth="1"/>
    <col min="7167" max="7167" width="11.140625" style="1" customWidth="1"/>
    <col min="7168" max="7168" width="9.140625" style="1"/>
    <col min="7169" max="7169" width="11.140625" style="1" customWidth="1"/>
    <col min="7170" max="7170" width="8.5703125" style="1" customWidth="1"/>
    <col min="7171" max="7171" width="6.140625" style="1" customWidth="1"/>
    <col min="7172" max="7418" width="9.140625" style="1"/>
    <col min="7419" max="7419" width="21.28515625" style="1" customWidth="1"/>
    <col min="7420" max="7420" width="73.7109375" style="1" customWidth="1"/>
    <col min="7421" max="7422" width="0" style="1" hidden="1" customWidth="1"/>
    <col min="7423" max="7423" width="11.140625" style="1" customWidth="1"/>
    <col min="7424" max="7424" width="9.140625" style="1"/>
    <col min="7425" max="7425" width="11.140625" style="1" customWidth="1"/>
    <col min="7426" max="7426" width="8.5703125" style="1" customWidth="1"/>
    <col min="7427" max="7427" width="6.140625" style="1" customWidth="1"/>
    <col min="7428" max="7674" width="9.140625" style="1"/>
    <col min="7675" max="7675" width="21.28515625" style="1" customWidth="1"/>
    <col min="7676" max="7676" width="73.7109375" style="1" customWidth="1"/>
    <col min="7677" max="7678" width="0" style="1" hidden="1" customWidth="1"/>
    <col min="7679" max="7679" width="11.140625" style="1" customWidth="1"/>
    <col min="7680" max="7680" width="9.140625" style="1"/>
    <col min="7681" max="7681" width="11.140625" style="1" customWidth="1"/>
    <col min="7682" max="7682" width="8.5703125" style="1" customWidth="1"/>
    <col min="7683" max="7683" width="6.140625" style="1" customWidth="1"/>
    <col min="7684" max="7930" width="9.140625" style="1"/>
    <col min="7931" max="7931" width="21.28515625" style="1" customWidth="1"/>
    <col min="7932" max="7932" width="73.7109375" style="1" customWidth="1"/>
    <col min="7933" max="7934" width="0" style="1" hidden="1" customWidth="1"/>
    <col min="7935" max="7935" width="11.140625" style="1" customWidth="1"/>
    <col min="7936" max="7936" width="9.140625" style="1"/>
    <col min="7937" max="7937" width="11.140625" style="1" customWidth="1"/>
    <col min="7938" max="7938" width="8.5703125" style="1" customWidth="1"/>
    <col min="7939" max="7939" width="6.140625" style="1" customWidth="1"/>
    <col min="7940" max="8186" width="9.140625" style="1"/>
    <col min="8187" max="8187" width="21.28515625" style="1" customWidth="1"/>
    <col min="8188" max="8188" width="73.7109375" style="1" customWidth="1"/>
    <col min="8189" max="8190" width="0" style="1" hidden="1" customWidth="1"/>
    <col min="8191" max="8191" width="11.140625" style="1" customWidth="1"/>
    <col min="8192" max="8192" width="9.140625" style="1"/>
    <col min="8193" max="8193" width="11.140625" style="1" customWidth="1"/>
    <col min="8194" max="8194" width="8.5703125" style="1" customWidth="1"/>
    <col min="8195" max="8195" width="6.140625" style="1" customWidth="1"/>
    <col min="8196" max="8442" width="9.140625" style="1"/>
    <col min="8443" max="8443" width="21.28515625" style="1" customWidth="1"/>
    <col min="8444" max="8444" width="73.7109375" style="1" customWidth="1"/>
    <col min="8445" max="8446" width="0" style="1" hidden="1" customWidth="1"/>
    <col min="8447" max="8447" width="11.140625" style="1" customWidth="1"/>
    <col min="8448" max="8448" width="9.140625" style="1"/>
    <col min="8449" max="8449" width="11.140625" style="1" customWidth="1"/>
    <col min="8450" max="8450" width="8.5703125" style="1" customWidth="1"/>
    <col min="8451" max="8451" width="6.140625" style="1" customWidth="1"/>
    <col min="8452" max="8698" width="9.140625" style="1"/>
    <col min="8699" max="8699" width="21.28515625" style="1" customWidth="1"/>
    <col min="8700" max="8700" width="73.7109375" style="1" customWidth="1"/>
    <col min="8701" max="8702" width="0" style="1" hidden="1" customWidth="1"/>
    <col min="8703" max="8703" width="11.140625" style="1" customWidth="1"/>
    <col min="8704" max="8704" width="9.140625" style="1"/>
    <col min="8705" max="8705" width="11.140625" style="1" customWidth="1"/>
    <col min="8706" max="8706" width="8.5703125" style="1" customWidth="1"/>
    <col min="8707" max="8707" width="6.140625" style="1" customWidth="1"/>
    <col min="8708" max="8954" width="9.140625" style="1"/>
    <col min="8955" max="8955" width="21.28515625" style="1" customWidth="1"/>
    <col min="8956" max="8956" width="73.7109375" style="1" customWidth="1"/>
    <col min="8957" max="8958" width="0" style="1" hidden="1" customWidth="1"/>
    <col min="8959" max="8959" width="11.140625" style="1" customWidth="1"/>
    <col min="8960" max="8960" width="9.140625" style="1"/>
    <col min="8961" max="8961" width="11.140625" style="1" customWidth="1"/>
    <col min="8962" max="8962" width="8.5703125" style="1" customWidth="1"/>
    <col min="8963" max="8963" width="6.140625" style="1" customWidth="1"/>
    <col min="8964" max="9210" width="9.140625" style="1"/>
    <col min="9211" max="9211" width="21.28515625" style="1" customWidth="1"/>
    <col min="9212" max="9212" width="73.7109375" style="1" customWidth="1"/>
    <col min="9213" max="9214" width="0" style="1" hidden="1" customWidth="1"/>
    <col min="9215" max="9215" width="11.140625" style="1" customWidth="1"/>
    <col min="9216" max="9216" width="9.140625" style="1"/>
    <col min="9217" max="9217" width="11.140625" style="1" customWidth="1"/>
    <col min="9218" max="9218" width="8.5703125" style="1" customWidth="1"/>
    <col min="9219" max="9219" width="6.140625" style="1" customWidth="1"/>
    <col min="9220" max="9466" width="9.140625" style="1"/>
    <col min="9467" max="9467" width="21.28515625" style="1" customWidth="1"/>
    <col min="9468" max="9468" width="73.7109375" style="1" customWidth="1"/>
    <col min="9469" max="9470" width="0" style="1" hidden="1" customWidth="1"/>
    <col min="9471" max="9471" width="11.140625" style="1" customWidth="1"/>
    <col min="9472" max="9472" width="9.140625" style="1"/>
    <col min="9473" max="9473" width="11.140625" style="1" customWidth="1"/>
    <col min="9474" max="9474" width="8.5703125" style="1" customWidth="1"/>
    <col min="9475" max="9475" width="6.140625" style="1" customWidth="1"/>
    <col min="9476" max="9722" width="9.140625" style="1"/>
    <col min="9723" max="9723" width="21.28515625" style="1" customWidth="1"/>
    <col min="9724" max="9724" width="73.7109375" style="1" customWidth="1"/>
    <col min="9725" max="9726" width="0" style="1" hidden="1" customWidth="1"/>
    <col min="9727" max="9727" width="11.140625" style="1" customWidth="1"/>
    <col min="9728" max="9728" width="9.140625" style="1"/>
    <col min="9729" max="9729" width="11.140625" style="1" customWidth="1"/>
    <col min="9730" max="9730" width="8.5703125" style="1" customWidth="1"/>
    <col min="9731" max="9731" width="6.140625" style="1" customWidth="1"/>
    <col min="9732" max="9978" width="9.140625" style="1"/>
    <col min="9979" max="9979" width="21.28515625" style="1" customWidth="1"/>
    <col min="9980" max="9980" width="73.7109375" style="1" customWidth="1"/>
    <col min="9981" max="9982" width="0" style="1" hidden="1" customWidth="1"/>
    <col min="9983" max="9983" width="11.140625" style="1" customWidth="1"/>
    <col min="9984" max="9984" width="9.140625" style="1"/>
    <col min="9985" max="9985" width="11.140625" style="1" customWidth="1"/>
    <col min="9986" max="9986" width="8.5703125" style="1" customWidth="1"/>
    <col min="9987" max="9987" width="6.140625" style="1" customWidth="1"/>
    <col min="9988" max="10234" width="9.140625" style="1"/>
    <col min="10235" max="10235" width="21.28515625" style="1" customWidth="1"/>
    <col min="10236" max="10236" width="73.7109375" style="1" customWidth="1"/>
    <col min="10237" max="10238" width="0" style="1" hidden="1" customWidth="1"/>
    <col min="10239" max="10239" width="11.140625" style="1" customWidth="1"/>
    <col min="10240" max="10240" width="9.140625" style="1"/>
    <col min="10241" max="10241" width="11.140625" style="1" customWidth="1"/>
    <col min="10242" max="10242" width="8.5703125" style="1" customWidth="1"/>
    <col min="10243" max="10243" width="6.140625" style="1" customWidth="1"/>
    <col min="10244" max="10490" width="9.140625" style="1"/>
    <col min="10491" max="10491" width="21.28515625" style="1" customWidth="1"/>
    <col min="10492" max="10492" width="73.7109375" style="1" customWidth="1"/>
    <col min="10493" max="10494" width="0" style="1" hidden="1" customWidth="1"/>
    <col min="10495" max="10495" width="11.140625" style="1" customWidth="1"/>
    <col min="10496" max="10496" width="9.140625" style="1"/>
    <col min="10497" max="10497" width="11.140625" style="1" customWidth="1"/>
    <col min="10498" max="10498" width="8.5703125" style="1" customWidth="1"/>
    <col min="10499" max="10499" width="6.140625" style="1" customWidth="1"/>
    <col min="10500" max="10746" width="9.140625" style="1"/>
    <col min="10747" max="10747" width="21.28515625" style="1" customWidth="1"/>
    <col min="10748" max="10748" width="73.7109375" style="1" customWidth="1"/>
    <col min="10749" max="10750" width="0" style="1" hidden="1" customWidth="1"/>
    <col min="10751" max="10751" width="11.140625" style="1" customWidth="1"/>
    <col min="10752" max="10752" width="9.140625" style="1"/>
    <col min="10753" max="10753" width="11.140625" style="1" customWidth="1"/>
    <col min="10754" max="10754" width="8.5703125" style="1" customWidth="1"/>
    <col min="10755" max="10755" width="6.140625" style="1" customWidth="1"/>
    <col min="10756" max="11002" width="9.140625" style="1"/>
    <col min="11003" max="11003" width="21.28515625" style="1" customWidth="1"/>
    <col min="11004" max="11004" width="73.7109375" style="1" customWidth="1"/>
    <col min="11005" max="11006" width="0" style="1" hidden="1" customWidth="1"/>
    <col min="11007" max="11007" width="11.140625" style="1" customWidth="1"/>
    <col min="11008" max="11008" width="9.140625" style="1"/>
    <col min="11009" max="11009" width="11.140625" style="1" customWidth="1"/>
    <col min="11010" max="11010" width="8.5703125" style="1" customWidth="1"/>
    <col min="11011" max="11011" width="6.140625" style="1" customWidth="1"/>
    <col min="11012" max="11258" width="9.140625" style="1"/>
    <col min="11259" max="11259" width="21.28515625" style="1" customWidth="1"/>
    <col min="11260" max="11260" width="73.7109375" style="1" customWidth="1"/>
    <col min="11261" max="11262" width="0" style="1" hidden="1" customWidth="1"/>
    <col min="11263" max="11263" width="11.140625" style="1" customWidth="1"/>
    <col min="11264" max="11264" width="9.140625" style="1"/>
    <col min="11265" max="11265" width="11.140625" style="1" customWidth="1"/>
    <col min="11266" max="11266" width="8.5703125" style="1" customWidth="1"/>
    <col min="11267" max="11267" width="6.140625" style="1" customWidth="1"/>
    <col min="11268" max="11514" width="9.140625" style="1"/>
    <col min="11515" max="11515" width="21.28515625" style="1" customWidth="1"/>
    <col min="11516" max="11516" width="73.7109375" style="1" customWidth="1"/>
    <col min="11517" max="11518" width="0" style="1" hidden="1" customWidth="1"/>
    <col min="11519" max="11519" width="11.140625" style="1" customWidth="1"/>
    <col min="11520" max="11520" width="9.140625" style="1"/>
    <col min="11521" max="11521" width="11.140625" style="1" customWidth="1"/>
    <col min="11522" max="11522" width="8.5703125" style="1" customWidth="1"/>
    <col min="11523" max="11523" width="6.140625" style="1" customWidth="1"/>
    <col min="11524" max="11770" width="9.140625" style="1"/>
    <col min="11771" max="11771" width="21.28515625" style="1" customWidth="1"/>
    <col min="11772" max="11772" width="73.7109375" style="1" customWidth="1"/>
    <col min="11773" max="11774" width="0" style="1" hidden="1" customWidth="1"/>
    <col min="11775" max="11775" width="11.140625" style="1" customWidth="1"/>
    <col min="11776" max="11776" width="9.140625" style="1"/>
    <col min="11777" max="11777" width="11.140625" style="1" customWidth="1"/>
    <col min="11778" max="11778" width="8.5703125" style="1" customWidth="1"/>
    <col min="11779" max="11779" width="6.140625" style="1" customWidth="1"/>
    <col min="11780" max="12026" width="9.140625" style="1"/>
    <col min="12027" max="12027" width="21.28515625" style="1" customWidth="1"/>
    <col min="12028" max="12028" width="73.7109375" style="1" customWidth="1"/>
    <col min="12029" max="12030" width="0" style="1" hidden="1" customWidth="1"/>
    <col min="12031" max="12031" width="11.140625" style="1" customWidth="1"/>
    <col min="12032" max="12032" width="9.140625" style="1"/>
    <col min="12033" max="12033" width="11.140625" style="1" customWidth="1"/>
    <col min="12034" max="12034" width="8.5703125" style="1" customWidth="1"/>
    <col min="12035" max="12035" width="6.140625" style="1" customWidth="1"/>
    <col min="12036" max="12282" width="9.140625" style="1"/>
    <col min="12283" max="12283" width="21.28515625" style="1" customWidth="1"/>
    <col min="12284" max="12284" width="73.7109375" style="1" customWidth="1"/>
    <col min="12285" max="12286" width="0" style="1" hidden="1" customWidth="1"/>
    <col min="12287" max="12287" width="11.140625" style="1" customWidth="1"/>
    <col min="12288" max="12288" width="9.140625" style="1"/>
    <col min="12289" max="12289" width="11.140625" style="1" customWidth="1"/>
    <col min="12290" max="12290" width="8.5703125" style="1" customWidth="1"/>
    <col min="12291" max="12291" width="6.140625" style="1" customWidth="1"/>
    <col min="12292" max="12538" width="9.140625" style="1"/>
    <col min="12539" max="12539" width="21.28515625" style="1" customWidth="1"/>
    <col min="12540" max="12540" width="73.7109375" style="1" customWidth="1"/>
    <col min="12541" max="12542" width="0" style="1" hidden="1" customWidth="1"/>
    <col min="12543" max="12543" width="11.140625" style="1" customWidth="1"/>
    <col min="12544" max="12544" width="9.140625" style="1"/>
    <col min="12545" max="12545" width="11.140625" style="1" customWidth="1"/>
    <col min="12546" max="12546" width="8.5703125" style="1" customWidth="1"/>
    <col min="12547" max="12547" width="6.140625" style="1" customWidth="1"/>
    <col min="12548" max="12794" width="9.140625" style="1"/>
    <col min="12795" max="12795" width="21.28515625" style="1" customWidth="1"/>
    <col min="12796" max="12796" width="73.7109375" style="1" customWidth="1"/>
    <col min="12797" max="12798" width="0" style="1" hidden="1" customWidth="1"/>
    <col min="12799" max="12799" width="11.140625" style="1" customWidth="1"/>
    <col min="12800" max="12800" width="9.140625" style="1"/>
    <col min="12801" max="12801" width="11.140625" style="1" customWidth="1"/>
    <col min="12802" max="12802" width="8.5703125" style="1" customWidth="1"/>
    <col min="12803" max="12803" width="6.140625" style="1" customWidth="1"/>
    <col min="12804" max="13050" width="9.140625" style="1"/>
    <col min="13051" max="13051" width="21.28515625" style="1" customWidth="1"/>
    <col min="13052" max="13052" width="73.7109375" style="1" customWidth="1"/>
    <col min="13053" max="13054" width="0" style="1" hidden="1" customWidth="1"/>
    <col min="13055" max="13055" width="11.140625" style="1" customWidth="1"/>
    <col min="13056" max="13056" width="9.140625" style="1"/>
    <col min="13057" max="13057" width="11.140625" style="1" customWidth="1"/>
    <col min="13058" max="13058" width="8.5703125" style="1" customWidth="1"/>
    <col min="13059" max="13059" width="6.140625" style="1" customWidth="1"/>
    <col min="13060" max="13306" width="9.140625" style="1"/>
    <col min="13307" max="13307" width="21.28515625" style="1" customWidth="1"/>
    <col min="13308" max="13308" width="73.7109375" style="1" customWidth="1"/>
    <col min="13309" max="13310" width="0" style="1" hidden="1" customWidth="1"/>
    <col min="13311" max="13311" width="11.140625" style="1" customWidth="1"/>
    <col min="13312" max="13312" width="9.140625" style="1"/>
    <col min="13313" max="13313" width="11.140625" style="1" customWidth="1"/>
    <col min="13314" max="13314" width="8.5703125" style="1" customWidth="1"/>
    <col min="13315" max="13315" width="6.140625" style="1" customWidth="1"/>
    <col min="13316" max="13562" width="9.140625" style="1"/>
    <col min="13563" max="13563" width="21.28515625" style="1" customWidth="1"/>
    <col min="13564" max="13564" width="73.7109375" style="1" customWidth="1"/>
    <col min="13565" max="13566" width="0" style="1" hidden="1" customWidth="1"/>
    <col min="13567" max="13567" width="11.140625" style="1" customWidth="1"/>
    <col min="13568" max="13568" width="9.140625" style="1"/>
    <col min="13569" max="13569" width="11.140625" style="1" customWidth="1"/>
    <col min="13570" max="13570" width="8.5703125" style="1" customWidth="1"/>
    <col min="13571" max="13571" width="6.140625" style="1" customWidth="1"/>
    <col min="13572" max="13818" width="9.140625" style="1"/>
    <col min="13819" max="13819" width="21.28515625" style="1" customWidth="1"/>
    <col min="13820" max="13820" width="73.7109375" style="1" customWidth="1"/>
    <col min="13821" max="13822" width="0" style="1" hidden="1" customWidth="1"/>
    <col min="13823" max="13823" width="11.140625" style="1" customWidth="1"/>
    <col min="13824" max="13824" width="9.140625" style="1"/>
    <col min="13825" max="13825" width="11.140625" style="1" customWidth="1"/>
    <col min="13826" max="13826" width="8.5703125" style="1" customWidth="1"/>
    <col min="13827" max="13827" width="6.140625" style="1" customWidth="1"/>
    <col min="13828" max="14074" width="9.140625" style="1"/>
    <col min="14075" max="14075" width="21.28515625" style="1" customWidth="1"/>
    <col min="14076" max="14076" width="73.7109375" style="1" customWidth="1"/>
    <col min="14077" max="14078" width="0" style="1" hidden="1" customWidth="1"/>
    <col min="14079" max="14079" width="11.140625" style="1" customWidth="1"/>
    <col min="14080" max="14080" width="9.140625" style="1"/>
    <col min="14081" max="14081" width="11.140625" style="1" customWidth="1"/>
    <col min="14082" max="14082" width="8.5703125" style="1" customWidth="1"/>
    <col min="14083" max="14083" width="6.140625" style="1" customWidth="1"/>
    <col min="14084" max="14330" width="9.140625" style="1"/>
    <col min="14331" max="14331" width="21.28515625" style="1" customWidth="1"/>
    <col min="14332" max="14332" width="73.7109375" style="1" customWidth="1"/>
    <col min="14333" max="14334" width="0" style="1" hidden="1" customWidth="1"/>
    <col min="14335" max="14335" width="11.140625" style="1" customWidth="1"/>
    <col min="14336" max="14336" width="9.140625" style="1"/>
    <col min="14337" max="14337" width="11.140625" style="1" customWidth="1"/>
    <col min="14338" max="14338" width="8.5703125" style="1" customWidth="1"/>
    <col min="14339" max="14339" width="6.140625" style="1" customWidth="1"/>
    <col min="14340" max="14586" width="9.140625" style="1"/>
    <col min="14587" max="14587" width="21.28515625" style="1" customWidth="1"/>
    <col min="14588" max="14588" width="73.7109375" style="1" customWidth="1"/>
    <col min="14589" max="14590" width="0" style="1" hidden="1" customWidth="1"/>
    <col min="14591" max="14591" width="11.140625" style="1" customWidth="1"/>
    <col min="14592" max="14592" width="9.140625" style="1"/>
    <col min="14593" max="14593" width="11.140625" style="1" customWidth="1"/>
    <col min="14594" max="14594" width="8.5703125" style="1" customWidth="1"/>
    <col min="14595" max="14595" width="6.140625" style="1" customWidth="1"/>
    <col min="14596" max="14842" width="9.140625" style="1"/>
    <col min="14843" max="14843" width="21.28515625" style="1" customWidth="1"/>
    <col min="14844" max="14844" width="73.7109375" style="1" customWidth="1"/>
    <col min="14845" max="14846" width="0" style="1" hidden="1" customWidth="1"/>
    <col min="14847" max="14847" width="11.140625" style="1" customWidth="1"/>
    <col min="14848" max="14848" width="9.140625" style="1"/>
    <col min="14849" max="14849" width="11.140625" style="1" customWidth="1"/>
    <col min="14850" max="14850" width="8.5703125" style="1" customWidth="1"/>
    <col min="14851" max="14851" width="6.140625" style="1" customWidth="1"/>
    <col min="14852" max="15098" width="9.140625" style="1"/>
    <col min="15099" max="15099" width="21.28515625" style="1" customWidth="1"/>
    <col min="15100" max="15100" width="73.7109375" style="1" customWidth="1"/>
    <col min="15101" max="15102" width="0" style="1" hidden="1" customWidth="1"/>
    <col min="15103" max="15103" width="11.140625" style="1" customWidth="1"/>
    <col min="15104" max="15104" width="9.140625" style="1"/>
    <col min="15105" max="15105" width="11.140625" style="1" customWidth="1"/>
    <col min="15106" max="15106" width="8.5703125" style="1" customWidth="1"/>
    <col min="15107" max="15107" width="6.140625" style="1" customWidth="1"/>
    <col min="15108" max="15354" width="9.140625" style="1"/>
    <col min="15355" max="15355" width="21.28515625" style="1" customWidth="1"/>
    <col min="15356" max="15356" width="73.7109375" style="1" customWidth="1"/>
    <col min="15357" max="15358" width="0" style="1" hidden="1" customWidth="1"/>
    <col min="15359" max="15359" width="11.140625" style="1" customWidth="1"/>
    <col min="15360" max="15360" width="9.140625" style="1"/>
    <col min="15361" max="15361" width="11.140625" style="1" customWidth="1"/>
    <col min="15362" max="15362" width="8.5703125" style="1" customWidth="1"/>
    <col min="15363" max="15363" width="6.140625" style="1" customWidth="1"/>
    <col min="15364" max="15610" width="9.140625" style="1"/>
    <col min="15611" max="15611" width="21.28515625" style="1" customWidth="1"/>
    <col min="15612" max="15612" width="73.7109375" style="1" customWidth="1"/>
    <col min="15613" max="15614" width="0" style="1" hidden="1" customWidth="1"/>
    <col min="15615" max="15615" width="11.140625" style="1" customWidth="1"/>
    <col min="15616" max="15616" width="9.140625" style="1"/>
    <col min="15617" max="15617" width="11.140625" style="1" customWidth="1"/>
    <col min="15618" max="15618" width="8.5703125" style="1" customWidth="1"/>
    <col min="15619" max="15619" width="6.140625" style="1" customWidth="1"/>
    <col min="15620" max="15866" width="9.140625" style="1"/>
    <col min="15867" max="15867" width="21.28515625" style="1" customWidth="1"/>
    <col min="15868" max="15868" width="73.7109375" style="1" customWidth="1"/>
    <col min="15869" max="15870" width="0" style="1" hidden="1" customWidth="1"/>
    <col min="15871" max="15871" width="11.140625" style="1" customWidth="1"/>
    <col min="15872" max="15872" width="9.140625" style="1"/>
    <col min="15873" max="15873" width="11.140625" style="1" customWidth="1"/>
    <col min="15874" max="15874" width="8.5703125" style="1" customWidth="1"/>
    <col min="15875" max="15875" width="6.140625" style="1" customWidth="1"/>
    <col min="15876" max="16122" width="9.140625" style="1"/>
    <col min="16123" max="16123" width="21.28515625" style="1" customWidth="1"/>
    <col min="16124" max="16124" width="73.7109375" style="1" customWidth="1"/>
    <col min="16125" max="16126" width="0" style="1" hidden="1" customWidth="1"/>
    <col min="16127" max="16127" width="11.140625" style="1" customWidth="1"/>
    <col min="16128" max="16128" width="9.140625" style="1"/>
    <col min="16129" max="16129" width="11.140625" style="1" customWidth="1"/>
    <col min="16130" max="16130" width="8.5703125" style="1" customWidth="1"/>
    <col min="16131" max="16131" width="6.140625" style="1" customWidth="1"/>
    <col min="16132" max="16384" width="9.140625" style="1"/>
  </cols>
  <sheetData>
    <row r="1" spans="1:9" ht="19.5" customHeight="1" x14ac:dyDescent="0.25">
      <c r="A1" s="127" t="s">
        <v>672</v>
      </c>
      <c r="B1" s="127"/>
      <c r="C1" s="127"/>
      <c r="D1" s="127"/>
      <c r="E1" s="127"/>
      <c r="F1" s="69"/>
      <c r="G1" s="69"/>
      <c r="H1" s="69"/>
      <c r="I1" s="69"/>
    </row>
    <row r="2" spans="1:9" x14ac:dyDescent="0.25">
      <c r="A2" s="40"/>
      <c r="B2" s="9"/>
      <c r="C2" s="42" t="s">
        <v>283</v>
      </c>
      <c r="D2" s="9"/>
      <c r="E2" s="9"/>
    </row>
    <row r="3" spans="1:9" hidden="1" x14ac:dyDescent="0.25">
      <c r="A3" s="43" t="s">
        <v>284</v>
      </c>
      <c r="B3" s="44" t="s">
        <v>284</v>
      </c>
    </row>
    <row r="4" spans="1:9" s="47" customFormat="1" ht="24" customHeight="1" x14ac:dyDescent="0.25">
      <c r="A4" s="45" t="s">
        <v>285</v>
      </c>
      <c r="B4" s="45" t="s">
        <v>0</v>
      </c>
      <c r="C4" s="46" t="s">
        <v>286</v>
      </c>
      <c r="D4" s="46" t="s">
        <v>287</v>
      </c>
      <c r="E4" s="46" t="s">
        <v>523</v>
      </c>
    </row>
    <row r="5" spans="1:9" s="41" customFormat="1" ht="11.25" x14ac:dyDescent="0.25">
      <c r="A5" s="48">
        <v>1</v>
      </c>
      <c r="B5" s="48">
        <v>2</v>
      </c>
      <c r="C5" s="48">
        <v>3</v>
      </c>
      <c r="D5" s="49"/>
      <c r="E5" s="49"/>
    </row>
    <row r="6" spans="1:9" s="6" customFormat="1" ht="15.75" customHeight="1" x14ac:dyDescent="0.25">
      <c r="A6" s="50" t="s">
        <v>288</v>
      </c>
      <c r="B6" s="51" t="s">
        <v>289</v>
      </c>
      <c r="C6" s="52">
        <f>C7+C16+C33+C38+C50+C59+C55</f>
        <v>35500</v>
      </c>
      <c r="D6" s="52">
        <f>D7+D16+D33+D38+D50+D59+D55</f>
        <v>0</v>
      </c>
      <c r="E6" s="52">
        <f>E7+E16+E33+E38+E50+E52+E59+E55</f>
        <v>31873.399999999998</v>
      </c>
    </row>
    <row r="7" spans="1:9" s="6" customFormat="1" ht="16.5" customHeight="1" x14ac:dyDescent="0.25">
      <c r="A7" s="50" t="s">
        <v>290</v>
      </c>
      <c r="B7" s="53" t="s">
        <v>291</v>
      </c>
      <c r="C7" s="52">
        <f t="shared" ref="C7:E7" si="0">C8</f>
        <v>21231.7</v>
      </c>
      <c r="D7" s="52">
        <f t="shared" si="0"/>
        <v>0</v>
      </c>
      <c r="E7" s="52">
        <f t="shared" si="0"/>
        <v>19351.5</v>
      </c>
    </row>
    <row r="8" spans="1:9" x14ac:dyDescent="0.25">
      <c r="A8" s="54" t="s">
        <v>292</v>
      </c>
      <c r="B8" s="55" t="s">
        <v>293</v>
      </c>
      <c r="C8" s="56">
        <f>C9+C10+C13+C14</f>
        <v>21231.7</v>
      </c>
      <c r="D8" s="56">
        <f>D9+D10+D13+D14</f>
        <v>0</v>
      </c>
      <c r="E8" s="56">
        <f>E9+E10+E13+E14+E15</f>
        <v>19351.5</v>
      </c>
    </row>
    <row r="9" spans="1:9" ht="40.5" customHeight="1" x14ac:dyDescent="0.25">
      <c r="A9" s="54" t="s">
        <v>294</v>
      </c>
      <c r="B9" s="57" t="s">
        <v>295</v>
      </c>
      <c r="C9" s="56">
        <v>45</v>
      </c>
      <c r="D9" s="55"/>
      <c r="E9" s="56">
        <v>3</v>
      </c>
    </row>
    <row r="10" spans="1:9" ht="27" customHeight="1" x14ac:dyDescent="0.25">
      <c r="A10" s="54" t="s">
        <v>296</v>
      </c>
      <c r="B10" s="57" t="s">
        <v>297</v>
      </c>
      <c r="C10" s="56">
        <f t="shared" ref="C10:E10" si="1">C11+C12</f>
        <v>21180.7</v>
      </c>
      <c r="D10" s="56">
        <f t="shared" si="1"/>
        <v>0</v>
      </c>
      <c r="E10" s="56">
        <f t="shared" si="1"/>
        <v>19310.5</v>
      </c>
    </row>
    <row r="11" spans="1:9" ht="63.75" customHeight="1" x14ac:dyDescent="0.25">
      <c r="A11" s="54" t="s">
        <v>298</v>
      </c>
      <c r="B11" s="57" t="s">
        <v>299</v>
      </c>
      <c r="C11" s="56">
        <v>21178.7</v>
      </c>
      <c r="D11" s="55"/>
      <c r="E11" s="56">
        <v>19225.5</v>
      </c>
    </row>
    <row r="12" spans="1:9" ht="49.5" customHeight="1" x14ac:dyDescent="0.25">
      <c r="A12" s="54" t="s">
        <v>300</v>
      </c>
      <c r="B12" s="57" t="s">
        <v>301</v>
      </c>
      <c r="C12" s="56">
        <v>2</v>
      </c>
      <c r="D12" s="55"/>
      <c r="E12" s="56">
        <v>85</v>
      </c>
    </row>
    <row r="13" spans="1:9" ht="27" customHeight="1" x14ac:dyDescent="0.25">
      <c r="A13" s="54" t="s">
        <v>302</v>
      </c>
      <c r="B13" s="57" t="s">
        <v>303</v>
      </c>
      <c r="C13" s="56">
        <v>2</v>
      </c>
      <c r="D13" s="55"/>
      <c r="E13" s="56">
        <v>11</v>
      </c>
    </row>
    <row r="14" spans="1:9" ht="65.25" customHeight="1" x14ac:dyDescent="0.25">
      <c r="A14" s="54" t="s">
        <v>304</v>
      </c>
      <c r="B14" s="58" t="s">
        <v>305</v>
      </c>
      <c r="C14" s="56">
        <v>4</v>
      </c>
      <c r="D14" s="55"/>
      <c r="E14" s="56">
        <v>2</v>
      </c>
    </row>
    <row r="15" spans="1:9" ht="42.75" customHeight="1" x14ac:dyDescent="0.25">
      <c r="A15" s="54" t="s">
        <v>306</v>
      </c>
      <c r="B15" s="58" t="s">
        <v>307</v>
      </c>
      <c r="C15" s="56">
        <v>0</v>
      </c>
      <c r="D15" s="55"/>
      <c r="E15" s="56">
        <v>25</v>
      </c>
    </row>
    <row r="16" spans="1:9" s="6" customFormat="1" ht="18.75" customHeight="1" x14ac:dyDescent="0.25">
      <c r="A16" s="50" t="s">
        <v>308</v>
      </c>
      <c r="B16" s="53" t="s">
        <v>309</v>
      </c>
      <c r="C16" s="52">
        <f t="shared" ref="C16:E16" si="2">C17+C27+C30</f>
        <v>9614</v>
      </c>
      <c r="D16" s="52">
        <f t="shared" si="2"/>
        <v>0</v>
      </c>
      <c r="E16" s="52">
        <f t="shared" si="2"/>
        <v>7847</v>
      </c>
    </row>
    <row r="17" spans="1:5" ht="18" customHeight="1" x14ac:dyDescent="0.25">
      <c r="A17" s="54" t="s">
        <v>310</v>
      </c>
      <c r="B17" s="59" t="s">
        <v>311</v>
      </c>
      <c r="C17" s="56">
        <f t="shared" ref="C17:E17" si="3">C18+C21+C24+C26</f>
        <v>2824</v>
      </c>
      <c r="D17" s="56">
        <f t="shared" si="3"/>
        <v>0</v>
      </c>
      <c r="E17" s="56">
        <f t="shared" si="3"/>
        <v>1846.6</v>
      </c>
    </row>
    <row r="18" spans="1:5" ht="28.5" customHeight="1" x14ac:dyDescent="0.25">
      <c r="A18" s="54" t="s">
        <v>312</v>
      </c>
      <c r="B18" s="59" t="s">
        <v>313</v>
      </c>
      <c r="C18" s="56">
        <f t="shared" ref="C18:E18" si="4">C19+C20</f>
        <v>841</v>
      </c>
      <c r="D18" s="56">
        <f t="shared" si="4"/>
        <v>0</v>
      </c>
      <c r="E18" s="56">
        <f t="shared" si="4"/>
        <v>925.5</v>
      </c>
    </row>
    <row r="19" spans="1:5" ht="28.5" customHeight="1" x14ac:dyDescent="0.25">
      <c r="A19" s="54" t="s">
        <v>314</v>
      </c>
      <c r="B19" s="59" t="s">
        <v>315</v>
      </c>
      <c r="C19" s="56">
        <v>662.6</v>
      </c>
      <c r="D19" s="55"/>
      <c r="E19" s="56">
        <f>626.4-0.9</f>
        <v>625.5</v>
      </c>
    </row>
    <row r="20" spans="1:5" ht="39.75" customHeight="1" x14ac:dyDescent="0.25">
      <c r="A20" s="54" t="s">
        <v>316</v>
      </c>
      <c r="B20" s="59" t="s">
        <v>317</v>
      </c>
      <c r="C20" s="56">
        <v>178.4</v>
      </c>
      <c r="D20" s="55"/>
      <c r="E20" s="56">
        <v>300</v>
      </c>
    </row>
    <row r="21" spans="1:5" ht="27" customHeight="1" x14ac:dyDescent="0.25">
      <c r="A21" s="54" t="s">
        <v>318</v>
      </c>
      <c r="B21" s="59" t="s">
        <v>319</v>
      </c>
      <c r="C21" s="56">
        <f t="shared" ref="C21:E21" si="5">C22+C23</f>
        <v>1225</v>
      </c>
      <c r="D21" s="56">
        <f t="shared" si="5"/>
        <v>0</v>
      </c>
      <c r="E21" s="56">
        <f t="shared" si="5"/>
        <v>890</v>
      </c>
    </row>
    <row r="22" spans="1:5" ht="27" customHeight="1" x14ac:dyDescent="0.25">
      <c r="A22" s="54" t="s">
        <v>320</v>
      </c>
      <c r="B22" s="59" t="s">
        <v>319</v>
      </c>
      <c r="C22" s="56">
        <v>1051.4000000000001</v>
      </c>
      <c r="D22" s="55"/>
      <c r="E22" s="56">
        <f>886-31</f>
        <v>855</v>
      </c>
    </row>
    <row r="23" spans="1:5" ht="41.25" customHeight="1" x14ac:dyDescent="0.25">
      <c r="A23" s="54" t="s">
        <v>321</v>
      </c>
      <c r="B23" s="59" t="s">
        <v>322</v>
      </c>
      <c r="C23" s="56">
        <v>173.6</v>
      </c>
      <c r="D23" s="55"/>
      <c r="E23" s="56">
        <v>35</v>
      </c>
    </row>
    <row r="24" spans="1:5" ht="29.25" customHeight="1" x14ac:dyDescent="0.25">
      <c r="A24" s="54" t="s">
        <v>323</v>
      </c>
      <c r="B24" s="59" t="s">
        <v>324</v>
      </c>
      <c r="C24" s="56">
        <f t="shared" ref="C24:E24" si="6">C25</f>
        <v>0</v>
      </c>
      <c r="D24" s="56">
        <f t="shared" si="6"/>
        <v>0</v>
      </c>
      <c r="E24" s="56">
        <f t="shared" si="6"/>
        <v>4.5</v>
      </c>
    </row>
    <row r="25" spans="1:5" ht="30.75" customHeight="1" x14ac:dyDescent="0.25">
      <c r="A25" s="54" t="s">
        <v>325</v>
      </c>
      <c r="B25" s="59" t="s">
        <v>324</v>
      </c>
      <c r="C25" s="56"/>
      <c r="D25" s="55"/>
      <c r="E25" s="56">
        <v>4.5</v>
      </c>
    </row>
    <row r="26" spans="1:5" ht="20.25" customHeight="1" x14ac:dyDescent="0.25">
      <c r="A26" s="54" t="s">
        <v>326</v>
      </c>
      <c r="B26" s="59" t="s">
        <v>327</v>
      </c>
      <c r="C26" s="56">
        <v>758</v>
      </c>
      <c r="D26" s="55"/>
      <c r="E26" s="56">
        <v>26.6</v>
      </c>
    </row>
    <row r="27" spans="1:5" ht="21.75" customHeight="1" x14ac:dyDescent="0.25">
      <c r="A27" s="54" t="s">
        <v>328</v>
      </c>
      <c r="B27" s="59" t="s">
        <v>329</v>
      </c>
      <c r="C27" s="56">
        <f t="shared" ref="C27:E27" si="7">C28+C29</f>
        <v>6747</v>
      </c>
      <c r="D27" s="56">
        <f t="shared" si="7"/>
        <v>0</v>
      </c>
      <c r="E27" s="56">
        <f t="shared" si="7"/>
        <v>5933.4</v>
      </c>
    </row>
    <row r="28" spans="1:5" ht="20.25" customHeight="1" x14ac:dyDescent="0.25">
      <c r="A28" s="54" t="s">
        <v>330</v>
      </c>
      <c r="B28" s="59" t="s">
        <v>329</v>
      </c>
      <c r="C28" s="56">
        <v>5315</v>
      </c>
      <c r="D28" s="55"/>
      <c r="E28" s="56">
        <v>4596.8999999999996</v>
      </c>
    </row>
    <row r="29" spans="1:5" ht="27" customHeight="1" x14ac:dyDescent="0.25">
      <c r="A29" s="54" t="s">
        <v>331</v>
      </c>
      <c r="B29" s="59" t="s">
        <v>332</v>
      </c>
      <c r="C29" s="56">
        <v>1432</v>
      </c>
      <c r="D29" s="55"/>
      <c r="E29" s="56">
        <v>1336.5</v>
      </c>
    </row>
    <row r="30" spans="1:5" ht="18" customHeight="1" x14ac:dyDescent="0.25">
      <c r="A30" s="54" t="s">
        <v>333</v>
      </c>
      <c r="B30" s="59" t="s">
        <v>334</v>
      </c>
      <c r="C30" s="56">
        <f t="shared" ref="C30:E30" si="8">C31+C32</f>
        <v>43</v>
      </c>
      <c r="D30" s="56">
        <f t="shared" si="8"/>
        <v>0</v>
      </c>
      <c r="E30" s="56">
        <f t="shared" si="8"/>
        <v>67</v>
      </c>
    </row>
    <row r="31" spans="1:5" ht="20.25" customHeight="1" x14ac:dyDescent="0.25">
      <c r="A31" s="54" t="s">
        <v>335</v>
      </c>
      <c r="B31" s="59" t="s">
        <v>334</v>
      </c>
      <c r="C31" s="56">
        <v>33.799999999999997</v>
      </c>
      <c r="D31" s="55"/>
      <c r="E31" s="56">
        <v>10</v>
      </c>
    </row>
    <row r="32" spans="1:5" ht="28.5" customHeight="1" x14ac:dyDescent="0.25">
      <c r="A32" s="54" t="s">
        <v>336</v>
      </c>
      <c r="B32" s="59" t="s">
        <v>337</v>
      </c>
      <c r="C32" s="56">
        <v>9.1999999999999993</v>
      </c>
      <c r="D32" s="55"/>
      <c r="E32" s="56">
        <v>57</v>
      </c>
    </row>
    <row r="33" spans="1:5" s="6" customFormat="1" ht="16.5" customHeight="1" x14ac:dyDescent="0.25">
      <c r="A33" s="50" t="s">
        <v>338</v>
      </c>
      <c r="B33" s="53" t="s">
        <v>339</v>
      </c>
      <c r="C33" s="52">
        <f t="shared" ref="C33:E33" si="9">C34+C36</f>
        <v>1865</v>
      </c>
      <c r="D33" s="52">
        <f t="shared" si="9"/>
        <v>0</v>
      </c>
      <c r="E33" s="52">
        <f t="shared" si="9"/>
        <v>1363.8</v>
      </c>
    </row>
    <row r="34" spans="1:5" ht="30" customHeight="1" x14ac:dyDescent="0.25">
      <c r="A34" s="54" t="s">
        <v>340</v>
      </c>
      <c r="B34" s="59" t="s">
        <v>341</v>
      </c>
      <c r="C34" s="56">
        <f t="shared" ref="C34:E34" si="10">C35</f>
        <v>505</v>
      </c>
      <c r="D34" s="56">
        <f t="shared" si="10"/>
        <v>0</v>
      </c>
      <c r="E34" s="56">
        <f t="shared" si="10"/>
        <v>495.5</v>
      </c>
    </row>
    <row r="35" spans="1:5" ht="26.25" customHeight="1" x14ac:dyDescent="0.25">
      <c r="A35" s="54" t="s">
        <v>342</v>
      </c>
      <c r="B35" s="57" t="s">
        <v>343</v>
      </c>
      <c r="C35" s="56">
        <v>505</v>
      </c>
      <c r="D35" s="55"/>
      <c r="E35" s="56">
        <v>495.5</v>
      </c>
    </row>
    <row r="36" spans="1:5" ht="28.5" customHeight="1" x14ac:dyDescent="0.25">
      <c r="A36" s="54" t="s">
        <v>344</v>
      </c>
      <c r="B36" s="57" t="s">
        <v>345</v>
      </c>
      <c r="C36" s="56">
        <f t="shared" ref="C36:E36" si="11">C37</f>
        <v>1360</v>
      </c>
      <c r="D36" s="56">
        <f t="shared" si="11"/>
        <v>0</v>
      </c>
      <c r="E36" s="56">
        <f t="shared" si="11"/>
        <v>868.3</v>
      </c>
    </row>
    <row r="37" spans="1:5" ht="39" customHeight="1" x14ac:dyDescent="0.25">
      <c r="A37" s="54" t="s">
        <v>346</v>
      </c>
      <c r="B37" s="57" t="s">
        <v>347</v>
      </c>
      <c r="C37" s="56">
        <v>1360</v>
      </c>
      <c r="D37" s="55"/>
      <c r="E37" s="56">
        <v>868.3</v>
      </c>
    </row>
    <row r="38" spans="1:5" s="6" customFormat="1" ht="27" customHeight="1" x14ac:dyDescent="0.25">
      <c r="A38" s="50" t="s">
        <v>348</v>
      </c>
      <c r="B38" s="53" t="s">
        <v>349</v>
      </c>
      <c r="C38" s="60">
        <f t="shared" ref="C38:D38" si="12">C39+C44+C47</f>
        <v>1460.4</v>
      </c>
      <c r="D38" s="60">
        <f t="shared" si="12"/>
        <v>0</v>
      </c>
      <c r="E38" s="60">
        <f>E39+E44+E47</f>
        <v>1546.1</v>
      </c>
    </row>
    <row r="39" spans="1:5" ht="72.75" customHeight="1" x14ac:dyDescent="0.25">
      <c r="A39" s="54" t="s">
        <v>350</v>
      </c>
      <c r="B39" s="58" t="s">
        <v>351</v>
      </c>
      <c r="C39" s="62">
        <f t="shared" ref="C39:E39" si="13">C40+C42</f>
        <v>1272.5</v>
      </c>
      <c r="D39" s="62">
        <f t="shared" si="13"/>
        <v>0</v>
      </c>
      <c r="E39" s="62">
        <f t="shared" si="13"/>
        <v>1367.1</v>
      </c>
    </row>
    <row r="40" spans="1:5" ht="42.75" customHeight="1" x14ac:dyDescent="0.25">
      <c r="A40" s="54" t="s">
        <v>352</v>
      </c>
      <c r="B40" s="59" t="s">
        <v>353</v>
      </c>
      <c r="C40" s="56">
        <f t="shared" ref="C40:E40" si="14">C41</f>
        <v>459.5</v>
      </c>
      <c r="D40" s="56">
        <f t="shared" si="14"/>
        <v>0</v>
      </c>
      <c r="E40" s="56">
        <f t="shared" si="14"/>
        <v>311</v>
      </c>
    </row>
    <row r="41" spans="1:5" ht="54.75" customHeight="1" x14ac:dyDescent="0.25">
      <c r="A41" s="54" t="s">
        <v>354</v>
      </c>
      <c r="B41" s="58" t="s">
        <v>355</v>
      </c>
      <c r="C41" s="56">
        <v>459.5</v>
      </c>
      <c r="D41" s="55"/>
      <c r="E41" s="56">
        <v>311</v>
      </c>
    </row>
    <row r="42" spans="1:5" ht="54.75" customHeight="1" x14ac:dyDescent="0.25">
      <c r="A42" s="54" t="s">
        <v>356</v>
      </c>
      <c r="B42" s="58" t="s">
        <v>357</v>
      </c>
      <c r="C42" s="62">
        <f t="shared" ref="C42:E42" si="15">C43</f>
        <v>813</v>
      </c>
      <c r="D42" s="62">
        <f t="shared" si="15"/>
        <v>0</v>
      </c>
      <c r="E42" s="62">
        <f t="shared" si="15"/>
        <v>1056.0999999999999</v>
      </c>
    </row>
    <row r="43" spans="1:5" ht="44.25" customHeight="1" x14ac:dyDescent="0.25">
      <c r="A43" s="54" t="s">
        <v>358</v>
      </c>
      <c r="B43" s="59" t="s">
        <v>359</v>
      </c>
      <c r="C43" s="56">
        <v>813</v>
      </c>
      <c r="D43" s="55"/>
      <c r="E43" s="56">
        <v>1056.0999999999999</v>
      </c>
    </row>
    <row r="44" spans="1:5" ht="33.75" hidden="1" customHeight="1" x14ac:dyDescent="0.25">
      <c r="A44" s="54" t="s">
        <v>360</v>
      </c>
      <c r="B44" s="59" t="s">
        <v>361</v>
      </c>
      <c r="C44" s="62">
        <f t="shared" ref="C44:E45" si="16">C45</f>
        <v>9</v>
      </c>
      <c r="D44" s="62">
        <f t="shared" si="16"/>
        <v>0</v>
      </c>
      <c r="E44" s="62">
        <f t="shared" si="16"/>
        <v>0</v>
      </c>
    </row>
    <row r="45" spans="1:5" ht="38.25" hidden="1" customHeight="1" x14ac:dyDescent="0.25">
      <c r="A45" s="54" t="s">
        <v>362</v>
      </c>
      <c r="B45" s="59" t="s">
        <v>363</v>
      </c>
      <c r="C45" s="62">
        <f t="shared" si="16"/>
        <v>9</v>
      </c>
      <c r="D45" s="62">
        <f t="shared" si="16"/>
        <v>0</v>
      </c>
      <c r="E45" s="62">
        <f t="shared" si="16"/>
        <v>0</v>
      </c>
    </row>
    <row r="46" spans="1:5" ht="40.5" hidden="1" customHeight="1" x14ac:dyDescent="0.25">
      <c r="A46" s="54" t="s">
        <v>364</v>
      </c>
      <c r="B46" s="59" t="s">
        <v>365</v>
      </c>
      <c r="C46" s="56">
        <v>9</v>
      </c>
      <c r="D46" s="55"/>
      <c r="E46" s="56">
        <v>0</v>
      </c>
    </row>
    <row r="47" spans="1:5" ht="66" customHeight="1" x14ac:dyDescent="0.25">
      <c r="A47" s="54" t="s">
        <v>366</v>
      </c>
      <c r="B47" s="59" t="s">
        <v>367</v>
      </c>
      <c r="C47" s="56">
        <f t="shared" ref="C47:E48" si="17">C48</f>
        <v>178.9</v>
      </c>
      <c r="D47" s="56">
        <f t="shared" si="17"/>
        <v>0</v>
      </c>
      <c r="E47" s="56">
        <f t="shared" si="17"/>
        <v>179</v>
      </c>
    </row>
    <row r="48" spans="1:5" ht="52.5" customHeight="1" x14ac:dyDescent="0.25">
      <c r="A48" s="54" t="s">
        <v>368</v>
      </c>
      <c r="B48" s="59" t="s">
        <v>369</v>
      </c>
      <c r="C48" s="56">
        <f t="shared" si="17"/>
        <v>178.9</v>
      </c>
      <c r="D48" s="56">
        <f t="shared" si="17"/>
        <v>0</v>
      </c>
      <c r="E48" s="56">
        <f t="shared" si="17"/>
        <v>179</v>
      </c>
    </row>
    <row r="49" spans="1:5" ht="52.5" customHeight="1" x14ac:dyDescent="0.25">
      <c r="A49" s="54" t="s">
        <v>370</v>
      </c>
      <c r="B49" s="59" t="s">
        <v>371</v>
      </c>
      <c r="C49" s="56">
        <f>58.9+120</f>
        <v>178.9</v>
      </c>
      <c r="D49" s="55"/>
      <c r="E49" s="56">
        <v>179</v>
      </c>
    </row>
    <row r="50" spans="1:5" s="6" customFormat="1" ht="18.75" customHeight="1" x14ac:dyDescent="0.25">
      <c r="A50" s="50" t="s">
        <v>372</v>
      </c>
      <c r="B50" s="53" t="s">
        <v>373</v>
      </c>
      <c r="C50" s="52">
        <f t="shared" ref="C50:E50" si="18">C51</f>
        <v>261.39999999999998</v>
      </c>
      <c r="D50" s="52">
        <f t="shared" si="18"/>
        <v>0</v>
      </c>
      <c r="E50" s="52">
        <f t="shared" si="18"/>
        <v>270</v>
      </c>
    </row>
    <row r="51" spans="1:5" ht="21" customHeight="1" x14ac:dyDescent="0.25">
      <c r="A51" s="54" t="s">
        <v>374</v>
      </c>
      <c r="B51" s="59" t="s">
        <v>375</v>
      </c>
      <c r="C51" s="56">
        <f>260+1.4</f>
        <v>261.39999999999998</v>
      </c>
      <c r="D51" s="55"/>
      <c r="E51" s="56">
        <v>270</v>
      </c>
    </row>
    <row r="52" spans="1:5" ht="27" customHeight="1" x14ac:dyDescent="0.25">
      <c r="A52" s="73" t="s">
        <v>510</v>
      </c>
      <c r="B52" s="70" t="s">
        <v>511</v>
      </c>
      <c r="C52" s="56"/>
      <c r="D52" s="55"/>
      <c r="E52" s="52">
        <f>E53</f>
        <v>200</v>
      </c>
    </row>
    <row r="53" spans="1:5" ht="24.75" customHeight="1" x14ac:dyDescent="0.25">
      <c r="A53" s="73" t="s">
        <v>512</v>
      </c>
      <c r="B53" s="71" t="s">
        <v>513</v>
      </c>
      <c r="C53" s="56"/>
      <c r="D53" s="55"/>
      <c r="E53" s="75">
        <f>E54</f>
        <v>200</v>
      </c>
    </row>
    <row r="54" spans="1:5" ht="37.5" customHeight="1" x14ac:dyDescent="0.25">
      <c r="A54" s="74" t="s">
        <v>515</v>
      </c>
      <c r="B54" s="72" t="s">
        <v>514</v>
      </c>
      <c r="C54" s="56"/>
      <c r="D54" s="55"/>
      <c r="E54" s="56">
        <v>200</v>
      </c>
    </row>
    <row r="55" spans="1:5" s="6" customFormat="1" ht="21.75" customHeight="1" x14ac:dyDescent="0.25">
      <c r="A55" s="50" t="s">
        <v>376</v>
      </c>
      <c r="B55" s="53" t="s">
        <v>377</v>
      </c>
      <c r="C55" s="60">
        <f>C56</f>
        <v>100</v>
      </c>
      <c r="D55" s="60">
        <f t="shared" ref="D55:E57" si="19">D56</f>
        <v>0</v>
      </c>
      <c r="E55" s="60">
        <f t="shared" si="19"/>
        <v>180</v>
      </c>
    </row>
    <row r="56" spans="1:5" ht="41.25" customHeight="1" x14ac:dyDescent="0.25">
      <c r="A56" s="54" t="s">
        <v>378</v>
      </c>
      <c r="B56" s="64" t="s">
        <v>379</v>
      </c>
      <c r="C56" s="56">
        <f>C57</f>
        <v>100</v>
      </c>
      <c r="D56" s="56">
        <f t="shared" si="19"/>
        <v>0</v>
      </c>
      <c r="E56" s="56">
        <f t="shared" si="19"/>
        <v>180</v>
      </c>
    </row>
    <row r="57" spans="1:5" ht="30" customHeight="1" x14ac:dyDescent="0.25">
      <c r="A57" s="54" t="s">
        <v>380</v>
      </c>
      <c r="B57" s="59" t="s">
        <v>381</v>
      </c>
      <c r="C57" s="56">
        <f>C58</f>
        <v>100</v>
      </c>
      <c r="D57" s="56">
        <f t="shared" si="19"/>
        <v>0</v>
      </c>
      <c r="E57" s="56">
        <f t="shared" si="19"/>
        <v>180</v>
      </c>
    </row>
    <row r="58" spans="1:5" ht="30" customHeight="1" x14ac:dyDescent="0.25">
      <c r="A58" s="54" t="s">
        <v>382</v>
      </c>
      <c r="B58" s="59" t="s">
        <v>383</v>
      </c>
      <c r="C58" s="56">
        <v>100</v>
      </c>
      <c r="D58" s="55"/>
      <c r="E58" s="56">
        <v>180</v>
      </c>
    </row>
    <row r="59" spans="1:5" ht="20.25" customHeight="1" x14ac:dyDescent="0.25">
      <c r="A59" s="50" t="s">
        <v>384</v>
      </c>
      <c r="B59" s="53" t="s">
        <v>385</v>
      </c>
      <c r="C59" s="52">
        <f t="shared" ref="C59:E59" si="20">C60+C63+C64+C65+C67+C68+C69</f>
        <v>967.5</v>
      </c>
      <c r="D59" s="52">
        <f t="shared" si="20"/>
        <v>0</v>
      </c>
      <c r="E59" s="52">
        <f t="shared" si="20"/>
        <v>1115</v>
      </c>
    </row>
    <row r="60" spans="1:5" ht="21" customHeight="1" x14ac:dyDescent="0.25">
      <c r="A60" s="54" t="s">
        <v>386</v>
      </c>
      <c r="B60" s="59" t="s">
        <v>387</v>
      </c>
      <c r="C60" s="56">
        <f t="shared" ref="C60:E60" si="21">C61+C62</f>
        <v>9</v>
      </c>
      <c r="D60" s="56">
        <f t="shared" si="21"/>
        <v>0</v>
      </c>
      <c r="E60" s="56">
        <f t="shared" si="21"/>
        <v>4.9000000000000004</v>
      </c>
    </row>
    <row r="61" spans="1:5" ht="63" customHeight="1" x14ac:dyDescent="0.25">
      <c r="A61" s="54" t="s">
        <v>388</v>
      </c>
      <c r="B61" s="59" t="s">
        <v>389</v>
      </c>
      <c r="C61" s="56">
        <v>3</v>
      </c>
      <c r="D61" s="55"/>
      <c r="E61" s="56">
        <v>3.9</v>
      </c>
    </row>
    <row r="62" spans="1:5" ht="42" customHeight="1" x14ac:dyDescent="0.25">
      <c r="A62" s="54" t="s">
        <v>390</v>
      </c>
      <c r="B62" s="59" t="s">
        <v>391</v>
      </c>
      <c r="C62" s="56">
        <v>6</v>
      </c>
      <c r="D62" s="55"/>
      <c r="E62" s="56">
        <v>1</v>
      </c>
    </row>
    <row r="63" spans="1:5" ht="42" customHeight="1" x14ac:dyDescent="0.25">
      <c r="A63" s="54" t="s">
        <v>392</v>
      </c>
      <c r="B63" s="59" t="s">
        <v>393</v>
      </c>
      <c r="C63" s="56"/>
      <c r="D63" s="55"/>
      <c r="E63" s="56">
        <v>17</v>
      </c>
    </row>
    <row r="64" spans="1:5" ht="39.75" customHeight="1" x14ac:dyDescent="0.25">
      <c r="A64" s="54" t="s">
        <v>394</v>
      </c>
      <c r="B64" s="59" t="s">
        <v>395</v>
      </c>
      <c r="C64" s="56">
        <v>0.5</v>
      </c>
      <c r="D64" s="55"/>
      <c r="E64" s="56">
        <v>0.1</v>
      </c>
    </row>
    <row r="65" spans="1:14" ht="64.5" customHeight="1" x14ac:dyDescent="0.25">
      <c r="A65" s="54" t="s">
        <v>396</v>
      </c>
      <c r="B65" s="58" t="s">
        <v>397</v>
      </c>
      <c r="C65" s="56">
        <f t="shared" ref="C65:E65" si="22">C66</f>
        <v>13</v>
      </c>
      <c r="D65" s="56">
        <f t="shared" si="22"/>
        <v>0</v>
      </c>
      <c r="E65" s="56">
        <f t="shared" si="22"/>
        <v>13</v>
      </c>
    </row>
    <row r="66" spans="1:14" ht="16.5" customHeight="1" x14ac:dyDescent="0.25">
      <c r="A66" s="54" t="s">
        <v>398</v>
      </c>
      <c r="B66" s="59" t="s">
        <v>399</v>
      </c>
      <c r="C66" s="56">
        <v>13</v>
      </c>
      <c r="D66" s="55"/>
      <c r="E66" s="56">
        <f>C66+D66</f>
        <v>13</v>
      </c>
    </row>
    <row r="67" spans="1:14" ht="41.25" customHeight="1" x14ac:dyDescent="0.25">
      <c r="A67" s="54" t="s">
        <v>400</v>
      </c>
      <c r="B67" s="59" t="s">
        <v>401</v>
      </c>
      <c r="C67" s="56">
        <v>90</v>
      </c>
      <c r="D67" s="55"/>
      <c r="E67" s="56">
        <v>195</v>
      </c>
    </row>
    <row r="68" spans="1:14" ht="27.75" customHeight="1" x14ac:dyDescent="0.25">
      <c r="A68" s="54" t="s">
        <v>402</v>
      </c>
      <c r="B68" s="59" t="s">
        <v>403</v>
      </c>
      <c r="C68" s="56">
        <v>350</v>
      </c>
      <c r="D68" s="55"/>
      <c r="E68" s="56">
        <v>400</v>
      </c>
    </row>
    <row r="69" spans="1:14" ht="27.75" customHeight="1" x14ac:dyDescent="0.25">
      <c r="A69" s="54" t="s">
        <v>404</v>
      </c>
      <c r="B69" s="59" t="s">
        <v>405</v>
      </c>
      <c r="C69" s="62">
        <f t="shared" ref="C69:E69" si="23">C70</f>
        <v>505</v>
      </c>
      <c r="D69" s="62">
        <f t="shared" si="23"/>
        <v>0</v>
      </c>
      <c r="E69" s="62">
        <f t="shared" si="23"/>
        <v>485</v>
      </c>
    </row>
    <row r="70" spans="1:14" ht="27.75" customHeight="1" x14ac:dyDescent="0.25">
      <c r="A70" s="54" t="s">
        <v>406</v>
      </c>
      <c r="B70" s="59" t="s">
        <v>407</v>
      </c>
      <c r="C70" s="56">
        <v>505</v>
      </c>
      <c r="D70" s="55"/>
      <c r="E70" s="56">
        <v>485</v>
      </c>
    </row>
    <row r="71" spans="1:14" s="35" customFormat="1" ht="17.25" customHeight="1" x14ac:dyDescent="0.25">
      <c r="A71" s="65" t="s">
        <v>408</v>
      </c>
      <c r="B71" s="53" t="s">
        <v>409</v>
      </c>
      <c r="C71" s="61">
        <f t="shared" ref="C71:E71" si="24">C72</f>
        <v>108190.70400000001</v>
      </c>
      <c r="D71" s="61">
        <f t="shared" si="24"/>
        <v>13132.578</v>
      </c>
      <c r="E71" s="61">
        <f t="shared" si="24"/>
        <v>128512.81</v>
      </c>
      <c r="F71" s="66"/>
      <c r="G71" s="66"/>
      <c r="H71" s="66"/>
      <c r="I71" s="66"/>
      <c r="J71" s="66"/>
      <c r="K71" s="66"/>
      <c r="L71" s="66"/>
      <c r="M71" s="66"/>
      <c r="N71" s="66"/>
    </row>
    <row r="72" spans="1:14" s="9" customFormat="1" ht="29.25" customHeight="1" x14ac:dyDescent="0.25">
      <c r="A72" s="36" t="s">
        <v>410</v>
      </c>
      <c r="B72" s="59" t="s">
        <v>411</v>
      </c>
      <c r="C72" s="63">
        <f>C73+C80+C99+C129</f>
        <v>108190.70400000001</v>
      </c>
      <c r="D72" s="63">
        <f>D73+D80+D99+D129</f>
        <v>13132.578</v>
      </c>
      <c r="E72" s="63">
        <f>E73+E80+E99+E129+E132+E135</f>
        <v>128512.81</v>
      </c>
      <c r="F72" s="13"/>
      <c r="G72" s="13"/>
      <c r="H72" s="13"/>
      <c r="I72" s="13"/>
      <c r="J72" s="13"/>
      <c r="K72" s="13"/>
      <c r="L72" s="13"/>
      <c r="M72" s="13"/>
      <c r="N72" s="13"/>
    </row>
    <row r="73" spans="1:14" s="35" customFormat="1" ht="27" customHeight="1" x14ac:dyDescent="0.25">
      <c r="A73" s="65" t="s">
        <v>412</v>
      </c>
      <c r="B73" s="53" t="s">
        <v>413</v>
      </c>
      <c r="C73" s="61">
        <f>C74+C76</f>
        <v>20850</v>
      </c>
      <c r="D73" s="61">
        <f>D74+D76</f>
        <v>0</v>
      </c>
      <c r="E73" s="61">
        <f>E74+E76+E78</f>
        <v>20666</v>
      </c>
      <c r="F73" s="66"/>
      <c r="G73" s="66"/>
      <c r="H73" s="66"/>
      <c r="I73" s="66"/>
      <c r="J73" s="66"/>
      <c r="K73" s="66"/>
      <c r="L73" s="66"/>
      <c r="M73" s="66"/>
      <c r="N73" s="66"/>
    </row>
    <row r="74" spans="1:14" s="35" customFormat="1" ht="16.5" customHeight="1" x14ac:dyDescent="0.25">
      <c r="A74" s="65" t="s">
        <v>414</v>
      </c>
      <c r="B74" s="53" t="s">
        <v>415</v>
      </c>
      <c r="C74" s="61">
        <f t="shared" ref="C74:E74" si="25">C75</f>
        <v>6858</v>
      </c>
      <c r="D74" s="61">
        <f t="shared" si="25"/>
        <v>0</v>
      </c>
      <c r="E74" s="61">
        <f t="shared" si="25"/>
        <v>6858</v>
      </c>
      <c r="F74" s="66"/>
      <c r="G74" s="66"/>
      <c r="H74" s="66"/>
      <c r="I74" s="66"/>
      <c r="J74" s="66"/>
      <c r="K74" s="66"/>
      <c r="L74" s="66"/>
      <c r="M74" s="66"/>
      <c r="N74" s="66"/>
    </row>
    <row r="75" spans="1:14" s="9" customFormat="1" ht="31.5" customHeight="1" x14ac:dyDescent="0.25">
      <c r="A75" s="36" t="s">
        <v>416</v>
      </c>
      <c r="B75" s="59" t="s">
        <v>417</v>
      </c>
      <c r="C75" s="63">
        <v>6858</v>
      </c>
      <c r="D75" s="59"/>
      <c r="E75" s="56">
        <f>C75+D75</f>
        <v>6858</v>
      </c>
      <c r="G75" s="8"/>
      <c r="I75" s="8"/>
      <c r="J75" s="8"/>
      <c r="K75" s="8"/>
    </row>
    <row r="76" spans="1:14" s="35" customFormat="1" ht="27.75" customHeight="1" x14ac:dyDescent="0.25">
      <c r="A76" s="65" t="s">
        <v>418</v>
      </c>
      <c r="B76" s="53" t="s">
        <v>419</v>
      </c>
      <c r="C76" s="61">
        <f t="shared" ref="C76:E76" si="26">C77</f>
        <v>13992</v>
      </c>
      <c r="D76" s="61">
        <f t="shared" si="26"/>
        <v>0</v>
      </c>
      <c r="E76" s="61">
        <f t="shared" si="26"/>
        <v>13665</v>
      </c>
      <c r="F76" s="66"/>
      <c r="G76" s="66"/>
      <c r="H76" s="66"/>
      <c r="I76" s="66"/>
      <c r="J76" s="66"/>
      <c r="K76" s="66"/>
      <c r="L76" s="66"/>
      <c r="M76" s="66"/>
    </row>
    <row r="77" spans="1:14" s="9" customFormat="1" ht="28.5" customHeight="1" x14ac:dyDescent="0.25">
      <c r="A77" s="36" t="s">
        <v>420</v>
      </c>
      <c r="B77" s="59" t="s">
        <v>421</v>
      </c>
      <c r="C77" s="63">
        <v>13992</v>
      </c>
      <c r="D77" s="59"/>
      <c r="E77" s="56">
        <v>13665</v>
      </c>
      <c r="G77" s="8"/>
      <c r="I77" s="8"/>
      <c r="J77" s="8"/>
      <c r="K77" s="8"/>
    </row>
    <row r="78" spans="1:14" s="35" customFormat="1" ht="18.75" customHeight="1" x14ac:dyDescent="0.25">
      <c r="A78" s="65" t="s">
        <v>422</v>
      </c>
      <c r="B78" s="53" t="s">
        <v>279</v>
      </c>
      <c r="C78" s="61"/>
      <c r="D78" s="53"/>
      <c r="E78" s="52">
        <f>E79</f>
        <v>143</v>
      </c>
      <c r="G78" s="5"/>
      <c r="I78" s="5"/>
      <c r="J78" s="5"/>
      <c r="K78" s="5"/>
    </row>
    <row r="79" spans="1:14" s="9" customFormat="1" ht="18.75" customHeight="1" x14ac:dyDescent="0.25">
      <c r="A79" s="36" t="s">
        <v>423</v>
      </c>
      <c r="B79" s="59" t="s">
        <v>424</v>
      </c>
      <c r="C79" s="63"/>
      <c r="D79" s="59"/>
      <c r="E79" s="56">
        <v>143</v>
      </c>
      <c r="G79" s="8"/>
      <c r="I79" s="8"/>
      <c r="J79" s="8"/>
      <c r="K79" s="8"/>
    </row>
    <row r="80" spans="1:14" s="9" customFormat="1" ht="28.5" customHeight="1" x14ac:dyDescent="0.25">
      <c r="A80" s="65" t="s">
        <v>425</v>
      </c>
      <c r="B80" s="53" t="s">
        <v>426</v>
      </c>
      <c r="C80" s="61">
        <f>C83+C88</f>
        <v>0</v>
      </c>
      <c r="D80" s="61">
        <f>D83+D88</f>
        <v>11773</v>
      </c>
      <c r="E80" s="61">
        <f>E81+E83+E86+E88</f>
        <v>16966.627999999997</v>
      </c>
      <c r="G80" s="8"/>
      <c r="I80" s="8"/>
      <c r="J80" s="8"/>
      <c r="K80" s="8"/>
    </row>
    <row r="81" spans="1:13" s="9" customFormat="1" ht="28.5" customHeight="1" x14ac:dyDescent="0.25">
      <c r="A81" s="65" t="s">
        <v>517</v>
      </c>
      <c r="B81" s="53" t="s">
        <v>518</v>
      </c>
      <c r="C81" s="61">
        <f t="shared" ref="C81:E84" si="27">C82</f>
        <v>0</v>
      </c>
      <c r="D81" s="61">
        <f t="shared" si="27"/>
        <v>10000</v>
      </c>
      <c r="E81" s="61">
        <f t="shared" si="27"/>
        <v>888.42600000000004</v>
      </c>
      <c r="G81" s="8"/>
      <c r="I81" s="8"/>
      <c r="J81" s="8"/>
      <c r="K81" s="8"/>
    </row>
    <row r="82" spans="1:13" s="9" customFormat="1" ht="28.5" customHeight="1" x14ac:dyDescent="0.25">
      <c r="A82" s="36" t="s">
        <v>516</v>
      </c>
      <c r="B82" s="59" t="s">
        <v>519</v>
      </c>
      <c r="C82" s="63">
        <f t="shared" si="27"/>
        <v>0</v>
      </c>
      <c r="D82" s="63">
        <f t="shared" si="27"/>
        <v>10000</v>
      </c>
      <c r="E82" s="63">
        <v>888.42600000000004</v>
      </c>
      <c r="G82" s="8"/>
      <c r="I82" s="8"/>
      <c r="J82" s="8"/>
      <c r="K82" s="8"/>
    </row>
    <row r="83" spans="1:13" s="9" customFormat="1" ht="39" customHeight="1" x14ac:dyDescent="0.25">
      <c r="A83" s="65" t="s">
        <v>427</v>
      </c>
      <c r="B83" s="53" t="s">
        <v>428</v>
      </c>
      <c r="C83" s="61">
        <f t="shared" si="27"/>
        <v>0</v>
      </c>
      <c r="D83" s="61">
        <f t="shared" si="27"/>
        <v>10000</v>
      </c>
      <c r="E83" s="61">
        <f t="shared" si="27"/>
        <v>10000</v>
      </c>
      <c r="G83" s="8"/>
      <c r="I83" s="8"/>
      <c r="J83" s="8"/>
      <c r="K83" s="8"/>
    </row>
    <row r="84" spans="1:13" s="9" customFormat="1" ht="30" customHeight="1" x14ac:dyDescent="0.25">
      <c r="A84" s="36" t="s">
        <v>429</v>
      </c>
      <c r="B84" s="59" t="s">
        <v>430</v>
      </c>
      <c r="C84" s="63">
        <f t="shared" si="27"/>
        <v>0</v>
      </c>
      <c r="D84" s="63">
        <f t="shared" si="27"/>
        <v>10000</v>
      </c>
      <c r="E84" s="63">
        <f t="shared" si="27"/>
        <v>10000</v>
      </c>
      <c r="G84" s="8"/>
      <c r="I84" s="8"/>
      <c r="J84" s="8"/>
      <c r="K84" s="8"/>
    </row>
    <row r="85" spans="1:13" s="9" customFormat="1" ht="17.25" customHeight="1" x14ac:dyDescent="0.25">
      <c r="A85" s="36"/>
      <c r="B85" s="59" t="s">
        <v>431</v>
      </c>
      <c r="C85" s="63">
        <v>0</v>
      </c>
      <c r="D85" s="63">
        <v>10000</v>
      </c>
      <c r="E85" s="56">
        <f>C85+D85</f>
        <v>10000</v>
      </c>
      <c r="G85" s="8"/>
      <c r="I85" s="8"/>
      <c r="J85" s="8"/>
      <c r="K85" s="8"/>
    </row>
    <row r="86" spans="1:13" s="35" customFormat="1" ht="26.25" customHeight="1" x14ac:dyDescent="0.25">
      <c r="A86" s="65" t="s">
        <v>432</v>
      </c>
      <c r="B86" s="53" t="s">
        <v>433</v>
      </c>
      <c r="C86" s="61"/>
      <c r="D86" s="61"/>
      <c r="E86" s="52">
        <f>E87</f>
        <v>1584.8</v>
      </c>
      <c r="G86" s="5"/>
      <c r="I86" s="5"/>
      <c r="J86" s="5"/>
      <c r="K86" s="5"/>
    </row>
    <row r="87" spans="1:13" s="9" customFormat="1" ht="27" customHeight="1" x14ac:dyDescent="0.25">
      <c r="A87" s="36" t="s">
        <v>434</v>
      </c>
      <c r="B87" s="59" t="s">
        <v>435</v>
      </c>
      <c r="C87" s="63"/>
      <c r="D87" s="63"/>
      <c r="E87" s="56">
        <v>1584.8</v>
      </c>
      <c r="G87" s="8"/>
      <c r="I87" s="8"/>
      <c r="J87" s="8"/>
      <c r="K87" s="8"/>
    </row>
    <row r="88" spans="1:13" s="35" customFormat="1" ht="15" customHeight="1" x14ac:dyDescent="0.25">
      <c r="A88" s="65" t="s">
        <v>436</v>
      </c>
      <c r="B88" s="53" t="s">
        <v>437</v>
      </c>
      <c r="C88" s="61">
        <f t="shared" ref="C88:E88" si="28">C89</f>
        <v>0</v>
      </c>
      <c r="D88" s="61">
        <f t="shared" si="28"/>
        <v>1773</v>
      </c>
      <c r="E88" s="61">
        <f t="shared" si="28"/>
        <v>4493.402</v>
      </c>
      <c r="F88" s="66"/>
      <c r="G88" s="66"/>
      <c r="H88" s="66"/>
      <c r="I88" s="66"/>
      <c r="J88" s="66"/>
      <c r="K88" s="66"/>
      <c r="L88" s="66"/>
    </row>
    <row r="89" spans="1:13" s="9" customFormat="1" ht="15.75" customHeight="1" x14ac:dyDescent="0.25">
      <c r="A89" s="36" t="s">
        <v>438</v>
      </c>
      <c r="B89" s="59" t="s">
        <v>439</v>
      </c>
      <c r="C89" s="63">
        <f>SUM(C90:C92)</f>
        <v>0</v>
      </c>
      <c r="D89" s="63">
        <f>SUM(D90:D92)</f>
        <v>1773</v>
      </c>
      <c r="E89" s="63">
        <f>SUM(E90:E98)</f>
        <v>4493.402</v>
      </c>
      <c r="F89" s="13"/>
      <c r="G89" s="13"/>
      <c r="H89" s="13"/>
      <c r="I89" s="13"/>
      <c r="J89" s="13"/>
      <c r="K89" s="13"/>
      <c r="L89" s="13"/>
      <c r="M89" s="13"/>
    </row>
    <row r="90" spans="1:13" s="9" customFormat="1" ht="28.5" customHeight="1" x14ac:dyDescent="0.25">
      <c r="A90" s="36"/>
      <c r="B90" s="59" t="s">
        <v>440</v>
      </c>
      <c r="C90" s="59"/>
      <c r="D90" s="63">
        <v>54.9</v>
      </c>
      <c r="E90" s="56">
        <v>679.971</v>
      </c>
      <c r="G90" s="8"/>
      <c r="I90" s="8"/>
      <c r="J90" s="8"/>
      <c r="K90" s="8"/>
    </row>
    <row r="91" spans="1:13" s="9" customFormat="1" ht="28.5" customHeight="1" x14ac:dyDescent="0.25">
      <c r="A91" s="36"/>
      <c r="B91" s="59" t="s">
        <v>441</v>
      </c>
      <c r="C91" s="59"/>
      <c r="D91" s="63">
        <v>1218.0999999999999</v>
      </c>
      <c r="E91" s="56">
        <v>1218.0999999999999</v>
      </c>
      <c r="G91" s="8"/>
      <c r="I91" s="8"/>
      <c r="J91" s="8"/>
      <c r="K91" s="8"/>
    </row>
    <row r="92" spans="1:13" s="9" customFormat="1" ht="28.5" customHeight="1" x14ac:dyDescent="0.25">
      <c r="A92" s="36"/>
      <c r="B92" s="59" t="s">
        <v>442</v>
      </c>
      <c r="C92" s="63"/>
      <c r="D92" s="63">
        <v>500</v>
      </c>
      <c r="E92" s="56">
        <f>C92+D92</f>
        <v>500</v>
      </c>
      <c r="G92" s="8"/>
      <c r="I92" s="8"/>
      <c r="J92" s="8"/>
      <c r="K92" s="8"/>
    </row>
    <row r="93" spans="1:13" s="9" customFormat="1" ht="28.5" customHeight="1" x14ac:dyDescent="0.25">
      <c r="A93" s="36"/>
      <c r="B93" s="59" t="s">
        <v>443</v>
      </c>
      <c r="C93" s="63"/>
      <c r="D93" s="63"/>
      <c r="E93" s="56">
        <v>568.75300000000004</v>
      </c>
      <c r="G93" s="8"/>
      <c r="I93" s="8"/>
      <c r="J93" s="8"/>
      <c r="K93" s="8"/>
    </row>
    <row r="94" spans="1:13" s="9" customFormat="1" ht="28.5" customHeight="1" x14ac:dyDescent="0.25">
      <c r="A94" s="36"/>
      <c r="B94" s="59" t="s">
        <v>444</v>
      </c>
      <c r="C94" s="63"/>
      <c r="D94" s="63"/>
      <c r="E94" s="56">
        <v>561.6</v>
      </c>
      <c r="G94" s="8"/>
      <c r="I94" s="8"/>
      <c r="J94" s="8"/>
      <c r="K94" s="8"/>
    </row>
    <row r="95" spans="1:13" s="9" customFormat="1" ht="28.5" customHeight="1" x14ac:dyDescent="0.25">
      <c r="A95" s="36"/>
      <c r="B95" s="59" t="s">
        <v>522</v>
      </c>
      <c r="C95" s="63"/>
      <c r="D95" s="63"/>
      <c r="E95" s="56">
        <v>45</v>
      </c>
      <c r="G95" s="8"/>
      <c r="I95" s="8"/>
      <c r="J95" s="8"/>
      <c r="K95" s="8"/>
    </row>
    <row r="96" spans="1:13" s="9" customFormat="1" ht="31.5" customHeight="1" x14ac:dyDescent="0.25">
      <c r="A96" s="36"/>
      <c r="B96" s="59" t="s">
        <v>445</v>
      </c>
      <c r="C96" s="63"/>
      <c r="D96" s="63"/>
      <c r="E96" s="56">
        <v>79</v>
      </c>
      <c r="G96" s="8"/>
      <c r="I96" s="8"/>
      <c r="J96" s="8"/>
      <c r="K96" s="8"/>
    </row>
    <row r="97" spans="1:13" s="9" customFormat="1" ht="16.5" customHeight="1" x14ac:dyDescent="0.25">
      <c r="A97" s="36"/>
      <c r="B97" s="59" t="s">
        <v>520</v>
      </c>
      <c r="C97" s="63"/>
      <c r="D97" s="63"/>
      <c r="E97" s="56">
        <v>2.1779999999999999</v>
      </c>
      <c r="G97" s="8"/>
      <c r="I97" s="8"/>
      <c r="J97" s="8"/>
      <c r="K97" s="8"/>
    </row>
    <row r="98" spans="1:13" s="9" customFormat="1" ht="27.75" customHeight="1" x14ac:dyDescent="0.25">
      <c r="A98" s="36"/>
      <c r="B98" s="59" t="s">
        <v>521</v>
      </c>
      <c r="C98" s="63"/>
      <c r="D98" s="63"/>
      <c r="E98" s="56">
        <v>838.8</v>
      </c>
      <c r="G98" s="8"/>
      <c r="I98" s="8"/>
      <c r="J98" s="8"/>
      <c r="K98" s="8"/>
    </row>
    <row r="99" spans="1:13" s="35" customFormat="1" ht="30" customHeight="1" x14ac:dyDescent="0.25">
      <c r="A99" s="65" t="s">
        <v>446</v>
      </c>
      <c r="B99" s="53" t="s">
        <v>447</v>
      </c>
      <c r="C99" s="61">
        <f t="shared" ref="C99:E99" si="29">C100+C102+C104+C106+C108+C120+C124+C126</f>
        <v>84962.200000000012</v>
      </c>
      <c r="D99" s="61">
        <f t="shared" si="29"/>
        <v>159.578</v>
      </c>
      <c r="E99" s="61">
        <f t="shared" si="29"/>
        <v>87439.978000000003</v>
      </c>
      <c r="F99" s="66"/>
      <c r="G99" s="66"/>
      <c r="H99" s="66"/>
      <c r="I99" s="66"/>
      <c r="J99" s="66"/>
      <c r="K99" s="66"/>
      <c r="L99" s="66"/>
    </row>
    <row r="100" spans="1:13" s="35" customFormat="1" ht="27" customHeight="1" x14ac:dyDescent="0.25">
      <c r="A100" s="65" t="s">
        <v>448</v>
      </c>
      <c r="B100" s="53" t="s">
        <v>449</v>
      </c>
      <c r="C100" s="61">
        <f t="shared" ref="C100:E100" si="30">C101</f>
        <v>0</v>
      </c>
      <c r="D100" s="61">
        <f t="shared" si="30"/>
        <v>159.578</v>
      </c>
      <c r="E100" s="61">
        <f t="shared" si="30"/>
        <v>159.578</v>
      </c>
      <c r="F100" s="66"/>
      <c r="G100" s="66"/>
      <c r="H100" s="66"/>
      <c r="I100" s="66"/>
      <c r="J100" s="66"/>
      <c r="K100" s="66"/>
      <c r="L100" s="66"/>
      <c r="M100" s="66"/>
    </row>
    <row r="101" spans="1:13" s="9" customFormat="1" ht="27" customHeight="1" x14ac:dyDescent="0.25">
      <c r="A101" s="36" t="s">
        <v>450</v>
      </c>
      <c r="B101" s="59" t="s">
        <v>451</v>
      </c>
      <c r="C101" s="59"/>
      <c r="D101" s="59">
        <v>159.578</v>
      </c>
      <c r="E101" s="63">
        <f>C101+D101</f>
        <v>159.578</v>
      </c>
      <c r="F101" s="13"/>
      <c r="G101" s="13"/>
      <c r="H101" s="13"/>
      <c r="I101" s="13"/>
      <c r="J101" s="13"/>
      <c r="K101" s="13"/>
      <c r="L101" s="13"/>
      <c r="M101" s="13"/>
    </row>
    <row r="102" spans="1:13" s="35" customFormat="1" ht="28.5" customHeight="1" x14ac:dyDescent="0.25">
      <c r="A102" s="65" t="s">
        <v>452</v>
      </c>
      <c r="B102" s="53" t="s">
        <v>453</v>
      </c>
      <c r="C102" s="61">
        <f t="shared" ref="C102:E102" si="31">C103</f>
        <v>297.89999999999998</v>
      </c>
      <c r="D102" s="61">
        <f t="shared" si="31"/>
        <v>0</v>
      </c>
      <c r="E102" s="61">
        <f t="shared" si="31"/>
        <v>302.39999999999998</v>
      </c>
      <c r="F102" s="66"/>
      <c r="G102" s="66"/>
      <c r="H102" s="66"/>
      <c r="I102" s="66"/>
      <c r="J102" s="66"/>
      <c r="K102" s="66"/>
      <c r="L102" s="66"/>
      <c r="M102" s="66"/>
    </row>
    <row r="103" spans="1:13" s="9" customFormat="1" ht="29.25" customHeight="1" x14ac:dyDescent="0.25">
      <c r="A103" s="36" t="s">
        <v>454</v>
      </c>
      <c r="B103" s="59" t="s">
        <v>455</v>
      </c>
      <c r="C103" s="63">
        <v>297.89999999999998</v>
      </c>
      <c r="D103" s="59"/>
      <c r="E103" s="56">
        <v>302.39999999999998</v>
      </c>
      <c r="G103" s="8"/>
      <c r="I103" s="8"/>
      <c r="K103" s="8"/>
    </row>
    <row r="104" spans="1:13" s="35" customFormat="1" ht="25.5" customHeight="1" x14ac:dyDescent="0.25">
      <c r="A104" s="65" t="s">
        <v>456</v>
      </c>
      <c r="B104" s="53" t="s">
        <v>457</v>
      </c>
      <c r="C104" s="61">
        <f t="shared" ref="C104:E104" si="32">C105</f>
        <v>142.5</v>
      </c>
      <c r="D104" s="61">
        <f t="shared" si="32"/>
        <v>0</v>
      </c>
      <c r="E104" s="61">
        <f t="shared" si="32"/>
        <v>142.5</v>
      </c>
      <c r="F104" s="66"/>
      <c r="G104" s="66"/>
      <c r="H104" s="66"/>
      <c r="I104" s="66"/>
      <c r="J104" s="66"/>
      <c r="K104" s="66"/>
      <c r="L104" s="66"/>
      <c r="M104" s="66"/>
    </row>
    <row r="105" spans="1:13" s="34" customFormat="1" ht="39.75" customHeight="1" x14ac:dyDescent="0.25">
      <c r="A105" s="36" t="s">
        <v>458</v>
      </c>
      <c r="B105" s="59" t="s">
        <v>459</v>
      </c>
      <c r="C105" s="63">
        <v>142.5</v>
      </c>
      <c r="D105" s="59"/>
      <c r="E105" s="56">
        <f t="shared" ref="E105:E131" si="33">C105+D105</f>
        <v>142.5</v>
      </c>
      <c r="G105" s="8"/>
      <c r="I105" s="8"/>
      <c r="K105" s="8"/>
    </row>
    <row r="106" spans="1:13" s="35" customFormat="1" ht="27" customHeight="1" x14ac:dyDescent="0.25">
      <c r="A106" s="65" t="s">
        <v>460</v>
      </c>
      <c r="B106" s="53" t="s">
        <v>461</v>
      </c>
      <c r="C106" s="61">
        <f t="shared" ref="C106:E106" si="34">C107</f>
        <v>1430.1</v>
      </c>
      <c r="D106" s="61">
        <f t="shared" si="34"/>
        <v>0</v>
      </c>
      <c r="E106" s="61">
        <f t="shared" si="34"/>
        <v>1430.1</v>
      </c>
      <c r="F106" s="5"/>
      <c r="G106" s="5"/>
      <c r="H106" s="5"/>
      <c r="I106" s="5"/>
      <c r="J106" s="5"/>
      <c r="K106" s="5"/>
      <c r="L106" s="5"/>
      <c r="M106" s="5"/>
    </row>
    <row r="107" spans="1:13" s="9" customFormat="1" ht="29.25" customHeight="1" x14ac:dyDescent="0.25">
      <c r="A107" s="36" t="s">
        <v>462</v>
      </c>
      <c r="B107" s="59" t="s">
        <v>463</v>
      </c>
      <c r="C107" s="63">
        <v>1430.1</v>
      </c>
      <c r="D107" s="59"/>
      <c r="E107" s="56">
        <f t="shared" si="33"/>
        <v>1430.1</v>
      </c>
      <c r="F107" s="8"/>
      <c r="G107" s="8"/>
      <c r="I107" s="8"/>
      <c r="K107" s="8"/>
    </row>
    <row r="108" spans="1:13" s="9" customFormat="1" ht="27" customHeight="1" x14ac:dyDescent="0.25">
      <c r="A108" s="65" t="s">
        <v>464</v>
      </c>
      <c r="B108" s="53" t="s">
        <v>465</v>
      </c>
      <c r="C108" s="61">
        <f t="shared" ref="C108:E108" si="35">C109</f>
        <v>31534.400000000001</v>
      </c>
      <c r="D108" s="61">
        <f t="shared" si="35"/>
        <v>0</v>
      </c>
      <c r="E108" s="61">
        <f t="shared" si="35"/>
        <v>31534.400000000001</v>
      </c>
      <c r="F108" s="13"/>
      <c r="G108" s="13"/>
      <c r="H108" s="13"/>
      <c r="I108" s="13"/>
      <c r="J108" s="13"/>
      <c r="K108" s="13"/>
      <c r="L108" s="13"/>
      <c r="M108" s="13"/>
    </row>
    <row r="109" spans="1:13" s="9" customFormat="1" ht="27.75" customHeight="1" x14ac:dyDescent="0.25">
      <c r="A109" s="36" t="s">
        <v>466</v>
      </c>
      <c r="B109" s="59" t="s">
        <v>467</v>
      </c>
      <c r="C109" s="63">
        <f t="shared" ref="C109:E109" si="36">SUM(C110:C119)</f>
        <v>31534.400000000001</v>
      </c>
      <c r="D109" s="63">
        <f t="shared" si="36"/>
        <v>0</v>
      </c>
      <c r="E109" s="63">
        <f t="shared" si="36"/>
        <v>31534.400000000001</v>
      </c>
      <c r="F109" s="13"/>
      <c r="G109" s="13"/>
      <c r="H109" s="13"/>
      <c r="I109" s="13"/>
      <c r="J109" s="13"/>
      <c r="K109" s="13"/>
      <c r="L109" s="13"/>
      <c r="M109" s="13"/>
    </row>
    <row r="110" spans="1:13" s="9" customFormat="1" ht="39.75" customHeight="1" x14ac:dyDescent="0.25">
      <c r="A110" s="36"/>
      <c r="B110" s="59" t="s">
        <v>468</v>
      </c>
      <c r="C110" s="63">
        <v>4654</v>
      </c>
      <c r="D110" s="59"/>
      <c r="E110" s="56">
        <f t="shared" si="33"/>
        <v>4654</v>
      </c>
      <c r="G110" s="8"/>
      <c r="I110" s="8"/>
      <c r="K110" s="8"/>
    </row>
    <row r="111" spans="1:13" s="9" customFormat="1" ht="52.5" customHeight="1" x14ac:dyDescent="0.25">
      <c r="A111" s="36"/>
      <c r="B111" s="59" t="s">
        <v>469</v>
      </c>
      <c r="C111" s="63">
        <v>156</v>
      </c>
      <c r="D111" s="59"/>
      <c r="E111" s="56">
        <f t="shared" si="33"/>
        <v>156</v>
      </c>
      <c r="G111" s="8"/>
      <c r="I111" s="8"/>
      <c r="K111" s="8"/>
    </row>
    <row r="112" spans="1:13" s="9" customFormat="1" ht="25.5" customHeight="1" x14ac:dyDescent="0.25">
      <c r="A112" s="36"/>
      <c r="B112" s="59" t="s">
        <v>470</v>
      </c>
      <c r="C112" s="63">
        <v>19435</v>
      </c>
      <c r="D112" s="59"/>
      <c r="E112" s="56">
        <f t="shared" si="33"/>
        <v>19435</v>
      </c>
      <c r="G112" s="8"/>
      <c r="I112" s="8"/>
      <c r="K112" s="8"/>
    </row>
    <row r="113" spans="1:14" s="9" customFormat="1" ht="53.25" customHeight="1" x14ac:dyDescent="0.25">
      <c r="A113" s="36"/>
      <c r="B113" s="59" t="s">
        <v>471</v>
      </c>
      <c r="C113" s="63">
        <v>36</v>
      </c>
      <c r="D113" s="59"/>
      <c r="E113" s="56">
        <f t="shared" si="33"/>
        <v>36</v>
      </c>
      <c r="G113" s="8"/>
      <c r="I113" s="8"/>
      <c r="K113" s="8"/>
    </row>
    <row r="114" spans="1:14" s="9" customFormat="1" ht="64.5" customHeight="1" x14ac:dyDescent="0.25">
      <c r="A114" s="36"/>
      <c r="B114" s="59" t="s">
        <v>472</v>
      </c>
      <c r="C114" s="63">
        <v>6392.7</v>
      </c>
      <c r="D114" s="59"/>
      <c r="E114" s="56">
        <f t="shared" si="33"/>
        <v>6392.7</v>
      </c>
      <c r="G114" s="8"/>
      <c r="I114" s="8"/>
      <c r="J114" s="8"/>
      <c r="K114" s="8"/>
    </row>
    <row r="115" spans="1:14" s="9" customFormat="1" ht="42" customHeight="1" x14ac:dyDescent="0.25">
      <c r="A115" s="36"/>
      <c r="B115" s="59" t="s">
        <v>473</v>
      </c>
      <c r="C115" s="63">
        <v>235</v>
      </c>
      <c r="D115" s="59"/>
      <c r="E115" s="56">
        <f t="shared" si="33"/>
        <v>235</v>
      </c>
      <c r="G115" s="8"/>
      <c r="I115" s="8"/>
      <c r="K115" s="8"/>
    </row>
    <row r="116" spans="1:14" s="9" customFormat="1" ht="39.75" customHeight="1" x14ac:dyDescent="0.25">
      <c r="A116" s="36"/>
      <c r="B116" s="59" t="s">
        <v>474</v>
      </c>
      <c r="C116" s="63">
        <v>235</v>
      </c>
      <c r="D116" s="59"/>
      <c r="E116" s="56">
        <f t="shared" si="33"/>
        <v>235</v>
      </c>
      <c r="G116" s="8"/>
      <c r="I116" s="8"/>
      <c r="K116" s="8"/>
    </row>
    <row r="117" spans="1:14" s="9" customFormat="1" ht="40.5" customHeight="1" x14ac:dyDescent="0.25">
      <c r="A117" s="36"/>
      <c r="B117" s="59" t="s">
        <v>475</v>
      </c>
      <c r="C117" s="63">
        <v>235</v>
      </c>
      <c r="D117" s="59"/>
      <c r="E117" s="56">
        <f t="shared" si="33"/>
        <v>235</v>
      </c>
      <c r="G117" s="8"/>
      <c r="I117" s="8"/>
      <c r="K117" s="8"/>
    </row>
    <row r="118" spans="1:14" s="9" customFormat="1" ht="29.25" customHeight="1" x14ac:dyDescent="0.25">
      <c r="A118" s="36"/>
      <c r="B118" s="59" t="s">
        <v>476</v>
      </c>
      <c r="C118" s="63">
        <v>117.5</v>
      </c>
      <c r="D118" s="59"/>
      <c r="E118" s="56">
        <f t="shared" si="33"/>
        <v>117.5</v>
      </c>
      <c r="G118" s="8"/>
      <c r="I118" s="8"/>
      <c r="K118" s="8"/>
    </row>
    <row r="119" spans="1:14" s="9" customFormat="1" ht="39" customHeight="1" x14ac:dyDescent="0.25">
      <c r="A119" s="36"/>
      <c r="B119" s="59" t="s">
        <v>477</v>
      </c>
      <c r="C119" s="63">
        <v>38.200000000000003</v>
      </c>
      <c r="D119" s="59"/>
      <c r="E119" s="56">
        <f t="shared" si="33"/>
        <v>38.200000000000003</v>
      </c>
      <c r="G119" s="8"/>
      <c r="I119" s="8"/>
      <c r="K119" s="8"/>
    </row>
    <row r="120" spans="1:14" s="9" customFormat="1" ht="27" customHeight="1" x14ac:dyDescent="0.25">
      <c r="A120" s="65" t="s">
        <v>478</v>
      </c>
      <c r="B120" s="53" t="s">
        <v>479</v>
      </c>
      <c r="C120" s="61">
        <f t="shared" ref="C120:E120" si="37">C121</f>
        <v>4237.8999999999996</v>
      </c>
      <c r="D120" s="61">
        <f t="shared" si="37"/>
        <v>0</v>
      </c>
      <c r="E120" s="61">
        <f t="shared" si="37"/>
        <v>4894.2</v>
      </c>
      <c r="F120" s="13"/>
      <c r="G120" s="13"/>
      <c r="H120" s="13"/>
      <c r="I120" s="13"/>
      <c r="J120" s="13"/>
      <c r="K120" s="13"/>
      <c r="L120" s="13"/>
    </row>
    <row r="121" spans="1:14" s="9" customFormat="1" ht="38.25" customHeight="1" x14ac:dyDescent="0.25">
      <c r="A121" s="36" t="s">
        <v>480</v>
      </c>
      <c r="B121" s="59" t="s">
        <v>481</v>
      </c>
      <c r="C121" s="63">
        <f t="shared" ref="C121:E121" si="38">C122+C123</f>
        <v>4237.8999999999996</v>
      </c>
      <c r="D121" s="63">
        <f t="shared" si="38"/>
        <v>0</v>
      </c>
      <c r="E121" s="63">
        <f t="shared" si="38"/>
        <v>4894.2</v>
      </c>
      <c r="F121" s="13"/>
      <c r="G121" s="13"/>
      <c r="H121" s="13"/>
      <c r="I121" s="13"/>
      <c r="J121" s="13"/>
      <c r="K121" s="13"/>
      <c r="L121" s="13"/>
    </row>
    <row r="122" spans="1:14" s="9" customFormat="1" ht="46.5" customHeight="1" x14ac:dyDescent="0.25">
      <c r="A122" s="36"/>
      <c r="B122" s="59" t="s">
        <v>482</v>
      </c>
      <c r="C122" s="63">
        <v>2007.5</v>
      </c>
      <c r="D122" s="59"/>
      <c r="E122" s="56">
        <v>2390</v>
      </c>
      <c r="G122" s="8"/>
      <c r="I122" s="8"/>
      <c r="J122" s="8"/>
      <c r="K122" s="8"/>
    </row>
    <row r="123" spans="1:14" s="9" customFormat="1" ht="42" customHeight="1" x14ac:dyDescent="0.25">
      <c r="A123" s="36"/>
      <c r="B123" s="59" t="s">
        <v>483</v>
      </c>
      <c r="C123" s="63">
        <v>2230.4</v>
      </c>
      <c r="D123" s="59"/>
      <c r="E123" s="56">
        <v>2504.1999999999998</v>
      </c>
      <c r="G123" s="8"/>
      <c r="I123" s="8"/>
      <c r="K123" s="8"/>
    </row>
    <row r="124" spans="1:14" s="9" customFormat="1" ht="39.75" customHeight="1" x14ac:dyDescent="0.25">
      <c r="A124" s="65" t="s">
        <v>484</v>
      </c>
      <c r="B124" s="53" t="s">
        <v>485</v>
      </c>
      <c r="C124" s="61">
        <f t="shared" ref="C124:E124" si="39">C125</f>
        <v>737.4</v>
      </c>
      <c r="D124" s="61">
        <f t="shared" si="39"/>
        <v>0</v>
      </c>
      <c r="E124" s="61">
        <f t="shared" si="39"/>
        <v>737.4</v>
      </c>
      <c r="F124" s="13"/>
      <c r="G124" s="13"/>
      <c r="H124" s="13"/>
      <c r="I124" s="13"/>
      <c r="J124" s="13"/>
      <c r="K124" s="13"/>
      <c r="L124" s="13"/>
      <c r="M124" s="13"/>
    </row>
    <row r="125" spans="1:14" s="9" customFormat="1" ht="39.75" customHeight="1" x14ac:dyDescent="0.25">
      <c r="A125" s="36" t="s">
        <v>486</v>
      </c>
      <c r="B125" s="59" t="s">
        <v>487</v>
      </c>
      <c r="C125" s="63">
        <v>737.4</v>
      </c>
      <c r="D125" s="59"/>
      <c r="E125" s="56">
        <f t="shared" si="33"/>
        <v>737.4</v>
      </c>
      <c r="G125" s="8"/>
      <c r="I125" s="8"/>
      <c r="K125" s="8"/>
    </row>
    <row r="126" spans="1:14" s="9" customFormat="1" ht="15.75" customHeight="1" x14ac:dyDescent="0.25">
      <c r="A126" s="65" t="s">
        <v>488</v>
      </c>
      <c r="B126" s="53" t="s">
        <v>489</v>
      </c>
      <c r="C126" s="61">
        <f t="shared" ref="C126:E127" si="40">C127</f>
        <v>46582</v>
      </c>
      <c r="D126" s="61">
        <f t="shared" si="40"/>
        <v>0</v>
      </c>
      <c r="E126" s="61">
        <f t="shared" si="40"/>
        <v>48239.4</v>
      </c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1:14" s="9" customFormat="1" ht="20.25" customHeight="1" x14ac:dyDescent="0.25">
      <c r="A127" s="36" t="s">
        <v>490</v>
      </c>
      <c r="B127" s="59" t="s">
        <v>491</v>
      </c>
      <c r="C127" s="63">
        <f t="shared" si="40"/>
        <v>46582</v>
      </c>
      <c r="D127" s="63">
        <f t="shared" si="40"/>
        <v>0</v>
      </c>
      <c r="E127" s="63">
        <f t="shared" si="40"/>
        <v>48239.4</v>
      </c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1:14" s="9" customFormat="1" ht="27" customHeight="1" x14ac:dyDescent="0.25">
      <c r="A128" s="36"/>
      <c r="B128" s="59" t="s">
        <v>492</v>
      </c>
      <c r="C128" s="63">
        <v>46582</v>
      </c>
      <c r="D128" s="59"/>
      <c r="E128" s="56">
        <v>48239.4</v>
      </c>
      <c r="G128" s="8"/>
      <c r="I128" s="8"/>
      <c r="K128" s="8"/>
    </row>
    <row r="129" spans="1:12" s="9" customFormat="1" ht="15.75" customHeight="1" x14ac:dyDescent="0.25">
      <c r="A129" s="65" t="s">
        <v>493</v>
      </c>
      <c r="B129" s="53" t="s">
        <v>494</v>
      </c>
      <c r="C129" s="61">
        <f t="shared" ref="C129:E130" si="41">C130</f>
        <v>2378.5039999999999</v>
      </c>
      <c r="D129" s="61">
        <f t="shared" si="41"/>
        <v>1200</v>
      </c>
      <c r="E129" s="61">
        <f t="shared" si="41"/>
        <v>3578.5039999999999</v>
      </c>
      <c r="G129" s="8"/>
      <c r="I129" s="8"/>
      <c r="K129" s="8"/>
    </row>
    <row r="130" spans="1:12" s="9" customFormat="1" ht="39.75" customHeight="1" x14ac:dyDescent="0.25">
      <c r="A130" s="65" t="s">
        <v>495</v>
      </c>
      <c r="B130" s="53" t="s">
        <v>496</v>
      </c>
      <c r="C130" s="61">
        <f t="shared" si="41"/>
        <v>2378.5039999999999</v>
      </c>
      <c r="D130" s="61">
        <f t="shared" si="41"/>
        <v>1200</v>
      </c>
      <c r="E130" s="61">
        <f t="shared" si="41"/>
        <v>3578.5039999999999</v>
      </c>
      <c r="G130" s="8"/>
      <c r="I130" s="8"/>
      <c r="K130" s="8"/>
    </row>
    <row r="131" spans="1:12" s="9" customFormat="1" ht="38.25" customHeight="1" x14ac:dyDescent="0.25">
      <c r="A131" s="36" t="s">
        <v>497</v>
      </c>
      <c r="B131" s="59" t="s">
        <v>498</v>
      </c>
      <c r="C131" s="59">
        <v>2378.5039999999999</v>
      </c>
      <c r="D131" s="67">
        <v>1200</v>
      </c>
      <c r="E131" s="56">
        <f t="shared" si="33"/>
        <v>3578.5039999999999</v>
      </c>
      <c r="G131" s="8"/>
      <c r="I131" s="8"/>
      <c r="K131" s="8"/>
    </row>
    <row r="132" spans="1:12" s="35" customFormat="1" ht="39.75" customHeight="1" x14ac:dyDescent="0.25">
      <c r="A132" s="65" t="s">
        <v>499</v>
      </c>
      <c r="B132" s="53" t="s">
        <v>500</v>
      </c>
      <c r="C132" s="53"/>
      <c r="D132" s="68"/>
      <c r="E132" s="52">
        <f>E133</f>
        <v>1.0229999999999999</v>
      </c>
      <c r="G132" s="5"/>
      <c r="I132" s="5"/>
      <c r="K132" s="5"/>
    </row>
    <row r="133" spans="1:12" s="9" customFormat="1" ht="42.75" customHeight="1" x14ac:dyDescent="0.25">
      <c r="A133" s="36" t="s">
        <v>501</v>
      </c>
      <c r="B133" s="59" t="s">
        <v>502</v>
      </c>
      <c r="C133" s="59"/>
      <c r="D133" s="67"/>
      <c r="E133" s="56">
        <f>E134</f>
        <v>1.0229999999999999</v>
      </c>
      <c r="G133" s="8"/>
      <c r="I133" s="8"/>
      <c r="K133" s="8"/>
    </row>
    <row r="134" spans="1:12" s="9" customFormat="1" ht="40.5" customHeight="1" x14ac:dyDescent="0.25">
      <c r="A134" s="36" t="s">
        <v>503</v>
      </c>
      <c r="B134" s="59" t="s">
        <v>504</v>
      </c>
      <c r="C134" s="59"/>
      <c r="D134" s="67"/>
      <c r="E134" s="56">
        <v>1.0229999999999999</v>
      </c>
      <c r="G134" s="8"/>
      <c r="I134" s="8"/>
      <c r="K134" s="8"/>
    </row>
    <row r="135" spans="1:12" s="9" customFormat="1" ht="27.75" customHeight="1" x14ac:dyDescent="0.25">
      <c r="A135" s="65" t="s">
        <v>505</v>
      </c>
      <c r="B135" s="53" t="s">
        <v>506</v>
      </c>
      <c r="C135" s="59"/>
      <c r="D135" s="67"/>
      <c r="E135" s="52">
        <f>E136</f>
        <v>-139.32300000000001</v>
      </c>
      <c r="G135" s="8"/>
      <c r="I135" s="8"/>
      <c r="K135" s="8"/>
    </row>
    <row r="136" spans="1:12" s="9" customFormat="1" ht="31.5" customHeight="1" x14ac:dyDescent="0.25">
      <c r="A136" s="36" t="s">
        <v>507</v>
      </c>
      <c r="B136" s="59" t="s">
        <v>508</v>
      </c>
      <c r="C136" s="59"/>
      <c r="D136" s="67"/>
      <c r="E136" s="56">
        <v>-139.32300000000001</v>
      </c>
      <c r="G136" s="8"/>
      <c r="I136" s="8"/>
      <c r="K136" s="8"/>
    </row>
    <row r="137" spans="1:12" s="35" customFormat="1" ht="22.5" customHeight="1" x14ac:dyDescent="0.25">
      <c r="A137" s="65"/>
      <c r="B137" s="53" t="s">
        <v>509</v>
      </c>
      <c r="C137" s="61">
        <f>C6+C71</f>
        <v>143690.70400000003</v>
      </c>
      <c r="D137" s="61">
        <f>D6+D71</f>
        <v>13132.578</v>
      </c>
      <c r="E137" s="61">
        <f>E6+E71</f>
        <v>160386.21</v>
      </c>
      <c r="F137" s="66"/>
      <c r="G137" s="66"/>
      <c r="H137" s="66"/>
      <c r="I137" s="66"/>
      <c r="J137" s="66"/>
      <c r="K137" s="66"/>
      <c r="L137" s="66"/>
    </row>
  </sheetData>
  <mergeCells count="1">
    <mergeCell ref="A1:E1"/>
  </mergeCells>
  <pageMargins left="0.70866141732283472" right="0.31496062992125984" top="0.15748031496062992" bottom="0.15748031496062992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5"/>
  <sheetViews>
    <sheetView workbookViewId="0">
      <selection activeCell="A9" sqref="A8:B9"/>
    </sheetView>
  </sheetViews>
  <sheetFormatPr defaultRowHeight="14.25" x14ac:dyDescent="0.25"/>
  <cols>
    <col min="1" max="1" width="2.42578125" style="77" customWidth="1"/>
    <col min="2" max="2" width="63.140625" style="102" customWidth="1"/>
    <col min="3" max="4" width="4.7109375" style="31" customWidth="1"/>
    <col min="5" max="5" width="13.42578125" style="31" customWidth="1"/>
    <col min="6" max="6" width="4.5703125" style="32" customWidth="1"/>
    <col min="7" max="7" width="15.140625" style="33" hidden="1" customWidth="1"/>
    <col min="8" max="8" width="13.7109375" style="77" hidden="1" customWidth="1"/>
    <col min="9" max="9" width="11.7109375" style="77" hidden="1" customWidth="1"/>
    <col min="10" max="10" width="13.28515625" style="77" customWidth="1"/>
    <col min="11" max="12" width="9.140625" style="77"/>
    <col min="13" max="13" width="5.28515625" style="77" customWidth="1"/>
    <col min="14" max="14" width="11.28515625" style="77" customWidth="1"/>
    <col min="15" max="256" width="9.140625" style="77"/>
    <col min="257" max="257" width="2.42578125" style="77" customWidth="1"/>
    <col min="258" max="258" width="50.5703125" style="77" customWidth="1"/>
    <col min="259" max="260" width="4.7109375" style="77" customWidth="1"/>
    <col min="261" max="261" width="13.42578125" style="77" customWidth="1"/>
    <col min="262" max="262" width="4.5703125" style="77" customWidth="1"/>
    <col min="263" max="263" width="0" style="77" hidden="1" customWidth="1"/>
    <col min="264" max="264" width="13.7109375" style="77" customWidth="1"/>
    <col min="265" max="265" width="11.7109375" style="77" customWidth="1"/>
    <col min="266" max="266" width="13.28515625" style="77" customWidth="1"/>
    <col min="267" max="268" width="9.140625" style="77"/>
    <col min="269" max="269" width="5.28515625" style="77" customWidth="1"/>
    <col min="270" max="512" width="9.140625" style="77"/>
    <col min="513" max="513" width="2.42578125" style="77" customWidth="1"/>
    <col min="514" max="514" width="50.5703125" style="77" customWidth="1"/>
    <col min="515" max="516" width="4.7109375" style="77" customWidth="1"/>
    <col min="517" max="517" width="13.42578125" style="77" customWidth="1"/>
    <col min="518" max="518" width="4.5703125" style="77" customWidth="1"/>
    <col min="519" max="519" width="0" style="77" hidden="1" customWidth="1"/>
    <col min="520" max="520" width="13.7109375" style="77" customWidth="1"/>
    <col min="521" max="521" width="11.7109375" style="77" customWidth="1"/>
    <col min="522" max="522" width="13.28515625" style="77" customWidth="1"/>
    <col min="523" max="524" width="9.140625" style="77"/>
    <col min="525" max="525" width="5.28515625" style="77" customWidth="1"/>
    <col min="526" max="768" width="9.140625" style="77"/>
    <col min="769" max="769" width="2.42578125" style="77" customWidth="1"/>
    <col min="770" max="770" width="50.5703125" style="77" customWidth="1"/>
    <col min="771" max="772" width="4.7109375" style="77" customWidth="1"/>
    <col min="773" max="773" width="13.42578125" style="77" customWidth="1"/>
    <col min="774" max="774" width="4.5703125" style="77" customWidth="1"/>
    <col min="775" max="775" width="0" style="77" hidden="1" customWidth="1"/>
    <col min="776" max="776" width="13.7109375" style="77" customWidth="1"/>
    <col min="777" max="777" width="11.7109375" style="77" customWidth="1"/>
    <col min="778" max="778" width="13.28515625" style="77" customWidth="1"/>
    <col min="779" max="780" width="9.140625" style="77"/>
    <col min="781" max="781" width="5.28515625" style="77" customWidth="1"/>
    <col min="782" max="1024" width="9.140625" style="77"/>
    <col min="1025" max="1025" width="2.42578125" style="77" customWidth="1"/>
    <col min="1026" max="1026" width="50.5703125" style="77" customWidth="1"/>
    <col min="1027" max="1028" width="4.7109375" style="77" customWidth="1"/>
    <col min="1029" max="1029" width="13.42578125" style="77" customWidth="1"/>
    <col min="1030" max="1030" width="4.5703125" style="77" customWidth="1"/>
    <col min="1031" max="1031" width="0" style="77" hidden="1" customWidth="1"/>
    <col min="1032" max="1032" width="13.7109375" style="77" customWidth="1"/>
    <col min="1033" max="1033" width="11.7109375" style="77" customWidth="1"/>
    <col min="1034" max="1034" width="13.28515625" style="77" customWidth="1"/>
    <col min="1035" max="1036" width="9.140625" style="77"/>
    <col min="1037" max="1037" width="5.28515625" style="77" customWidth="1"/>
    <col min="1038" max="1280" width="9.140625" style="77"/>
    <col min="1281" max="1281" width="2.42578125" style="77" customWidth="1"/>
    <col min="1282" max="1282" width="50.5703125" style="77" customWidth="1"/>
    <col min="1283" max="1284" width="4.7109375" style="77" customWidth="1"/>
    <col min="1285" max="1285" width="13.42578125" style="77" customWidth="1"/>
    <col min="1286" max="1286" width="4.5703125" style="77" customWidth="1"/>
    <col min="1287" max="1287" width="0" style="77" hidden="1" customWidth="1"/>
    <col min="1288" max="1288" width="13.7109375" style="77" customWidth="1"/>
    <col min="1289" max="1289" width="11.7109375" style="77" customWidth="1"/>
    <col min="1290" max="1290" width="13.28515625" style="77" customWidth="1"/>
    <col min="1291" max="1292" width="9.140625" style="77"/>
    <col min="1293" max="1293" width="5.28515625" style="77" customWidth="1"/>
    <col min="1294" max="1536" width="9.140625" style="77"/>
    <col min="1537" max="1537" width="2.42578125" style="77" customWidth="1"/>
    <col min="1538" max="1538" width="50.5703125" style="77" customWidth="1"/>
    <col min="1539" max="1540" width="4.7109375" style="77" customWidth="1"/>
    <col min="1541" max="1541" width="13.42578125" style="77" customWidth="1"/>
    <col min="1542" max="1542" width="4.5703125" style="77" customWidth="1"/>
    <col min="1543" max="1543" width="0" style="77" hidden="1" customWidth="1"/>
    <col min="1544" max="1544" width="13.7109375" style="77" customWidth="1"/>
    <col min="1545" max="1545" width="11.7109375" style="77" customWidth="1"/>
    <col min="1546" max="1546" width="13.28515625" style="77" customWidth="1"/>
    <col min="1547" max="1548" width="9.140625" style="77"/>
    <col min="1549" max="1549" width="5.28515625" style="77" customWidth="1"/>
    <col min="1550" max="1792" width="9.140625" style="77"/>
    <col min="1793" max="1793" width="2.42578125" style="77" customWidth="1"/>
    <col min="1794" max="1794" width="50.5703125" style="77" customWidth="1"/>
    <col min="1795" max="1796" width="4.7109375" style="77" customWidth="1"/>
    <col min="1797" max="1797" width="13.42578125" style="77" customWidth="1"/>
    <col min="1798" max="1798" width="4.5703125" style="77" customWidth="1"/>
    <col min="1799" max="1799" width="0" style="77" hidden="1" customWidth="1"/>
    <col min="1800" max="1800" width="13.7109375" style="77" customWidth="1"/>
    <col min="1801" max="1801" width="11.7109375" style="77" customWidth="1"/>
    <col min="1802" max="1802" width="13.28515625" style="77" customWidth="1"/>
    <col min="1803" max="1804" width="9.140625" style="77"/>
    <col min="1805" max="1805" width="5.28515625" style="77" customWidth="1"/>
    <col min="1806" max="2048" width="9.140625" style="77"/>
    <col min="2049" max="2049" width="2.42578125" style="77" customWidth="1"/>
    <col min="2050" max="2050" width="50.5703125" style="77" customWidth="1"/>
    <col min="2051" max="2052" width="4.7109375" style="77" customWidth="1"/>
    <col min="2053" max="2053" width="13.42578125" style="77" customWidth="1"/>
    <col min="2054" max="2054" width="4.5703125" style="77" customWidth="1"/>
    <col min="2055" max="2055" width="0" style="77" hidden="1" customWidth="1"/>
    <col min="2056" max="2056" width="13.7109375" style="77" customWidth="1"/>
    <col min="2057" max="2057" width="11.7109375" style="77" customWidth="1"/>
    <col min="2058" max="2058" width="13.28515625" style="77" customWidth="1"/>
    <col min="2059" max="2060" width="9.140625" style="77"/>
    <col min="2061" max="2061" width="5.28515625" style="77" customWidth="1"/>
    <col min="2062" max="2304" width="9.140625" style="77"/>
    <col min="2305" max="2305" width="2.42578125" style="77" customWidth="1"/>
    <col min="2306" max="2306" width="50.5703125" style="77" customWidth="1"/>
    <col min="2307" max="2308" width="4.7109375" style="77" customWidth="1"/>
    <col min="2309" max="2309" width="13.42578125" style="77" customWidth="1"/>
    <col min="2310" max="2310" width="4.5703125" style="77" customWidth="1"/>
    <col min="2311" max="2311" width="0" style="77" hidden="1" customWidth="1"/>
    <col min="2312" max="2312" width="13.7109375" style="77" customWidth="1"/>
    <col min="2313" max="2313" width="11.7109375" style="77" customWidth="1"/>
    <col min="2314" max="2314" width="13.28515625" style="77" customWidth="1"/>
    <col min="2315" max="2316" width="9.140625" style="77"/>
    <col min="2317" max="2317" width="5.28515625" style="77" customWidth="1"/>
    <col min="2318" max="2560" width="9.140625" style="77"/>
    <col min="2561" max="2561" width="2.42578125" style="77" customWidth="1"/>
    <col min="2562" max="2562" width="50.5703125" style="77" customWidth="1"/>
    <col min="2563" max="2564" width="4.7109375" style="77" customWidth="1"/>
    <col min="2565" max="2565" width="13.42578125" style="77" customWidth="1"/>
    <col min="2566" max="2566" width="4.5703125" style="77" customWidth="1"/>
    <col min="2567" max="2567" width="0" style="77" hidden="1" customWidth="1"/>
    <col min="2568" max="2568" width="13.7109375" style="77" customWidth="1"/>
    <col min="2569" max="2569" width="11.7109375" style="77" customWidth="1"/>
    <col min="2570" max="2570" width="13.28515625" style="77" customWidth="1"/>
    <col min="2571" max="2572" width="9.140625" style="77"/>
    <col min="2573" max="2573" width="5.28515625" style="77" customWidth="1"/>
    <col min="2574" max="2816" width="9.140625" style="77"/>
    <col min="2817" max="2817" width="2.42578125" style="77" customWidth="1"/>
    <col min="2818" max="2818" width="50.5703125" style="77" customWidth="1"/>
    <col min="2819" max="2820" width="4.7109375" style="77" customWidth="1"/>
    <col min="2821" max="2821" width="13.42578125" style="77" customWidth="1"/>
    <col min="2822" max="2822" width="4.5703125" style="77" customWidth="1"/>
    <col min="2823" max="2823" width="0" style="77" hidden="1" customWidth="1"/>
    <col min="2824" max="2824" width="13.7109375" style="77" customWidth="1"/>
    <col min="2825" max="2825" width="11.7109375" style="77" customWidth="1"/>
    <col min="2826" max="2826" width="13.28515625" style="77" customWidth="1"/>
    <col min="2827" max="2828" width="9.140625" style="77"/>
    <col min="2829" max="2829" width="5.28515625" style="77" customWidth="1"/>
    <col min="2830" max="3072" width="9.140625" style="77"/>
    <col min="3073" max="3073" width="2.42578125" style="77" customWidth="1"/>
    <col min="3074" max="3074" width="50.5703125" style="77" customWidth="1"/>
    <col min="3075" max="3076" width="4.7109375" style="77" customWidth="1"/>
    <col min="3077" max="3077" width="13.42578125" style="77" customWidth="1"/>
    <col min="3078" max="3078" width="4.5703125" style="77" customWidth="1"/>
    <col min="3079" max="3079" width="0" style="77" hidden="1" customWidth="1"/>
    <col min="3080" max="3080" width="13.7109375" style="77" customWidth="1"/>
    <col min="3081" max="3081" width="11.7109375" style="77" customWidth="1"/>
    <col min="3082" max="3082" width="13.28515625" style="77" customWidth="1"/>
    <col min="3083" max="3084" width="9.140625" style="77"/>
    <col min="3085" max="3085" width="5.28515625" style="77" customWidth="1"/>
    <col min="3086" max="3328" width="9.140625" style="77"/>
    <col min="3329" max="3329" width="2.42578125" style="77" customWidth="1"/>
    <col min="3330" max="3330" width="50.5703125" style="77" customWidth="1"/>
    <col min="3331" max="3332" width="4.7109375" style="77" customWidth="1"/>
    <col min="3333" max="3333" width="13.42578125" style="77" customWidth="1"/>
    <col min="3334" max="3334" width="4.5703125" style="77" customWidth="1"/>
    <col min="3335" max="3335" width="0" style="77" hidden="1" customWidth="1"/>
    <col min="3336" max="3336" width="13.7109375" style="77" customWidth="1"/>
    <col min="3337" max="3337" width="11.7109375" style="77" customWidth="1"/>
    <col min="3338" max="3338" width="13.28515625" style="77" customWidth="1"/>
    <col min="3339" max="3340" width="9.140625" style="77"/>
    <col min="3341" max="3341" width="5.28515625" style="77" customWidth="1"/>
    <col min="3342" max="3584" width="9.140625" style="77"/>
    <col min="3585" max="3585" width="2.42578125" style="77" customWidth="1"/>
    <col min="3586" max="3586" width="50.5703125" style="77" customWidth="1"/>
    <col min="3587" max="3588" width="4.7109375" style="77" customWidth="1"/>
    <col min="3589" max="3589" width="13.42578125" style="77" customWidth="1"/>
    <col min="3590" max="3590" width="4.5703125" style="77" customWidth="1"/>
    <col min="3591" max="3591" width="0" style="77" hidden="1" customWidth="1"/>
    <col min="3592" max="3592" width="13.7109375" style="77" customWidth="1"/>
    <col min="3593" max="3593" width="11.7109375" style="77" customWidth="1"/>
    <col min="3594" max="3594" width="13.28515625" style="77" customWidth="1"/>
    <col min="3595" max="3596" width="9.140625" style="77"/>
    <col min="3597" max="3597" width="5.28515625" style="77" customWidth="1"/>
    <col min="3598" max="3840" width="9.140625" style="77"/>
    <col min="3841" max="3841" width="2.42578125" style="77" customWidth="1"/>
    <col min="3842" max="3842" width="50.5703125" style="77" customWidth="1"/>
    <col min="3843" max="3844" width="4.7109375" style="77" customWidth="1"/>
    <col min="3845" max="3845" width="13.42578125" style="77" customWidth="1"/>
    <col min="3846" max="3846" width="4.5703125" style="77" customWidth="1"/>
    <col min="3847" max="3847" width="0" style="77" hidden="1" customWidth="1"/>
    <col min="3848" max="3848" width="13.7109375" style="77" customWidth="1"/>
    <col min="3849" max="3849" width="11.7109375" style="77" customWidth="1"/>
    <col min="3850" max="3850" width="13.28515625" style="77" customWidth="1"/>
    <col min="3851" max="3852" width="9.140625" style="77"/>
    <col min="3853" max="3853" width="5.28515625" style="77" customWidth="1"/>
    <col min="3854" max="4096" width="9.140625" style="77"/>
    <col min="4097" max="4097" width="2.42578125" style="77" customWidth="1"/>
    <col min="4098" max="4098" width="50.5703125" style="77" customWidth="1"/>
    <col min="4099" max="4100" width="4.7109375" style="77" customWidth="1"/>
    <col min="4101" max="4101" width="13.42578125" style="77" customWidth="1"/>
    <col min="4102" max="4102" width="4.5703125" style="77" customWidth="1"/>
    <col min="4103" max="4103" width="0" style="77" hidden="1" customWidth="1"/>
    <col min="4104" max="4104" width="13.7109375" style="77" customWidth="1"/>
    <col min="4105" max="4105" width="11.7109375" style="77" customWidth="1"/>
    <col min="4106" max="4106" width="13.28515625" style="77" customWidth="1"/>
    <col min="4107" max="4108" width="9.140625" style="77"/>
    <col min="4109" max="4109" width="5.28515625" style="77" customWidth="1"/>
    <col min="4110" max="4352" width="9.140625" style="77"/>
    <col min="4353" max="4353" width="2.42578125" style="77" customWidth="1"/>
    <col min="4354" max="4354" width="50.5703125" style="77" customWidth="1"/>
    <col min="4355" max="4356" width="4.7109375" style="77" customWidth="1"/>
    <col min="4357" max="4357" width="13.42578125" style="77" customWidth="1"/>
    <col min="4358" max="4358" width="4.5703125" style="77" customWidth="1"/>
    <col min="4359" max="4359" width="0" style="77" hidden="1" customWidth="1"/>
    <col min="4360" max="4360" width="13.7109375" style="77" customWidth="1"/>
    <col min="4361" max="4361" width="11.7109375" style="77" customWidth="1"/>
    <col min="4362" max="4362" width="13.28515625" style="77" customWidth="1"/>
    <col min="4363" max="4364" width="9.140625" style="77"/>
    <col min="4365" max="4365" width="5.28515625" style="77" customWidth="1"/>
    <col min="4366" max="4608" width="9.140625" style="77"/>
    <col min="4609" max="4609" width="2.42578125" style="77" customWidth="1"/>
    <col min="4610" max="4610" width="50.5703125" style="77" customWidth="1"/>
    <col min="4611" max="4612" width="4.7109375" style="77" customWidth="1"/>
    <col min="4613" max="4613" width="13.42578125" style="77" customWidth="1"/>
    <col min="4614" max="4614" width="4.5703125" style="77" customWidth="1"/>
    <col min="4615" max="4615" width="0" style="77" hidden="1" customWidth="1"/>
    <col min="4616" max="4616" width="13.7109375" style="77" customWidth="1"/>
    <col min="4617" max="4617" width="11.7109375" style="77" customWidth="1"/>
    <col min="4618" max="4618" width="13.28515625" style="77" customWidth="1"/>
    <col min="4619" max="4620" width="9.140625" style="77"/>
    <col min="4621" max="4621" width="5.28515625" style="77" customWidth="1"/>
    <col min="4622" max="4864" width="9.140625" style="77"/>
    <col min="4865" max="4865" width="2.42578125" style="77" customWidth="1"/>
    <col min="4866" max="4866" width="50.5703125" style="77" customWidth="1"/>
    <col min="4867" max="4868" width="4.7109375" style="77" customWidth="1"/>
    <col min="4869" max="4869" width="13.42578125" style="77" customWidth="1"/>
    <col min="4870" max="4870" width="4.5703125" style="77" customWidth="1"/>
    <col min="4871" max="4871" width="0" style="77" hidden="1" customWidth="1"/>
    <col min="4872" max="4872" width="13.7109375" style="77" customWidth="1"/>
    <col min="4873" max="4873" width="11.7109375" style="77" customWidth="1"/>
    <col min="4874" max="4874" width="13.28515625" style="77" customWidth="1"/>
    <col min="4875" max="4876" width="9.140625" style="77"/>
    <col min="4877" max="4877" width="5.28515625" style="77" customWidth="1"/>
    <col min="4878" max="5120" width="9.140625" style="77"/>
    <col min="5121" max="5121" width="2.42578125" style="77" customWidth="1"/>
    <col min="5122" max="5122" width="50.5703125" style="77" customWidth="1"/>
    <col min="5123" max="5124" width="4.7109375" style="77" customWidth="1"/>
    <col min="5125" max="5125" width="13.42578125" style="77" customWidth="1"/>
    <col min="5126" max="5126" width="4.5703125" style="77" customWidth="1"/>
    <col min="5127" max="5127" width="0" style="77" hidden="1" customWidth="1"/>
    <col min="5128" max="5128" width="13.7109375" style="77" customWidth="1"/>
    <col min="5129" max="5129" width="11.7109375" style="77" customWidth="1"/>
    <col min="5130" max="5130" width="13.28515625" style="77" customWidth="1"/>
    <col min="5131" max="5132" width="9.140625" style="77"/>
    <col min="5133" max="5133" width="5.28515625" style="77" customWidth="1"/>
    <col min="5134" max="5376" width="9.140625" style="77"/>
    <col min="5377" max="5377" width="2.42578125" style="77" customWidth="1"/>
    <col min="5378" max="5378" width="50.5703125" style="77" customWidth="1"/>
    <col min="5379" max="5380" width="4.7109375" style="77" customWidth="1"/>
    <col min="5381" max="5381" width="13.42578125" style="77" customWidth="1"/>
    <col min="5382" max="5382" width="4.5703125" style="77" customWidth="1"/>
    <col min="5383" max="5383" width="0" style="77" hidden="1" customWidth="1"/>
    <col min="5384" max="5384" width="13.7109375" style="77" customWidth="1"/>
    <col min="5385" max="5385" width="11.7109375" style="77" customWidth="1"/>
    <col min="5386" max="5386" width="13.28515625" style="77" customWidth="1"/>
    <col min="5387" max="5388" width="9.140625" style="77"/>
    <col min="5389" max="5389" width="5.28515625" style="77" customWidth="1"/>
    <col min="5390" max="5632" width="9.140625" style="77"/>
    <col min="5633" max="5633" width="2.42578125" style="77" customWidth="1"/>
    <col min="5634" max="5634" width="50.5703125" style="77" customWidth="1"/>
    <col min="5635" max="5636" width="4.7109375" style="77" customWidth="1"/>
    <col min="5637" max="5637" width="13.42578125" style="77" customWidth="1"/>
    <col min="5638" max="5638" width="4.5703125" style="77" customWidth="1"/>
    <col min="5639" max="5639" width="0" style="77" hidden="1" customWidth="1"/>
    <col min="5640" max="5640" width="13.7109375" style="77" customWidth="1"/>
    <col min="5641" max="5641" width="11.7109375" style="77" customWidth="1"/>
    <col min="5642" max="5642" width="13.28515625" style="77" customWidth="1"/>
    <col min="5643" max="5644" width="9.140625" style="77"/>
    <col min="5645" max="5645" width="5.28515625" style="77" customWidth="1"/>
    <col min="5646" max="5888" width="9.140625" style="77"/>
    <col min="5889" max="5889" width="2.42578125" style="77" customWidth="1"/>
    <col min="5890" max="5890" width="50.5703125" style="77" customWidth="1"/>
    <col min="5891" max="5892" width="4.7109375" style="77" customWidth="1"/>
    <col min="5893" max="5893" width="13.42578125" style="77" customWidth="1"/>
    <col min="5894" max="5894" width="4.5703125" style="77" customWidth="1"/>
    <col min="5895" max="5895" width="0" style="77" hidden="1" customWidth="1"/>
    <col min="5896" max="5896" width="13.7109375" style="77" customWidth="1"/>
    <col min="5897" max="5897" width="11.7109375" style="77" customWidth="1"/>
    <col min="5898" max="5898" width="13.28515625" style="77" customWidth="1"/>
    <col min="5899" max="5900" width="9.140625" style="77"/>
    <col min="5901" max="5901" width="5.28515625" style="77" customWidth="1"/>
    <col min="5902" max="6144" width="9.140625" style="77"/>
    <col min="6145" max="6145" width="2.42578125" style="77" customWidth="1"/>
    <col min="6146" max="6146" width="50.5703125" style="77" customWidth="1"/>
    <col min="6147" max="6148" width="4.7109375" style="77" customWidth="1"/>
    <col min="6149" max="6149" width="13.42578125" style="77" customWidth="1"/>
    <col min="6150" max="6150" width="4.5703125" style="77" customWidth="1"/>
    <col min="6151" max="6151" width="0" style="77" hidden="1" customWidth="1"/>
    <col min="6152" max="6152" width="13.7109375" style="77" customWidth="1"/>
    <col min="6153" max="6153" width="11.7109375" style="77" customWidth="1"/>
    <col min="6154" max="6154" width="13.28515625" style="77" customWidth="1"/>
    <col min="6155" max="6156" width="9.140625" style="77"/>
    <col min="6157" max="6157" width="5.28515625" style="77" customWidth="1"/>
    <col min="6158" max="6400" width="9.140625" style="77"/>
    <col min="6401" max="6401" width="2.42578125" style="77" customWidth="1"/>
    <col min="6402" max="6402" width="50.5703125" style="77" customWidth="1"/>
    <col min="6403" max="6404" width="4.7109375" style="77" customWidth="1"/>
    <col min="6405" max="6405" width="13.42578125" style="77" customWidth="1"/>
    <col min="6406" max="6406" width="4.5703125" style="77" customWidth="1"/>
    <col min="6407" max="6407" width="0" style="77" hidden="1" customWidth="1"/>
    <col min="6408" max="6408" width="13.7109375" style="77" customWidth="1"/>
    <col min="6409" max="6409" width="11.7109375" style="77" customWidth="1"/>
    <col min="6410" max="6410" width="13.28515625" style="77" customWidth="1"/>
    <col min="6411" max="6412" width="9.140625" style="77"/>
    <col min="6413" max="6413" width="5.28515625" style="77" customWidth="1"/>
    <col min="6414" max="6656" width="9.140625" style="77"/>
    <col min="6657" max="6657" width="2.42578125" style="77" customWidth="1"/>
    <col min="6658" max="6658" width="50.5703125" style="77" customWidth="1"/>
    <col min="6659" max="6660" width="4.7109375" style="77" customWidth="1"/>
    <col min="6661" max="6661" width="13.42578125" style="77" customWidth="1"/>
    <col min="6662" max="6662" width="4.5703125" style="77" customWidth="1"/>
    <col min="6663" max="6663" width="0" style="77" hidden="1" customWidth="1"/>
    <col min="6664" max="6664" width="13.7109375" style="77" customWidth="1"/>
    <col min="6665" max="6665" width="11.7109375" style="77" customWidth="1"/>
    <col min="6666" max="6666" width="13.28515625" style="77" customWidth="1"/>
    <col min="6667" max="6668" width="9.140625" style="77"/>
    <col min="6669" max="6669" width="5.28515625" style="77" customWidth="1"/>
    <col min="6670" max="6912" width="9.140625" style="77"/>
    <col min="6913" max="6913" width="2.42578125" style="77" customWidth="1"/>
    <col min="6914" max="6914" width="50.5703125" style="77" customWidth="1"/>
    <col min="6915" max="6916" width="4.7109375" style="77" customWidth="1"/>
    <col min="6917" max="6917" width="13.42578125" style="77" customWidth="1"/>
    <col min="6918" max="6918" width="4.5703125" style="77" customWidth="1"/>
    <col min="6919" max="6919" width="0" style="77" hidden="1" customWidth="1"/>
    <col min="6920" max="6920" width="13.7109375" style="77" customWidth="1"/>
    <col min="6921" max="6921" width="11.7109375" style="77" customWidth="1"/>
    <col min="6922" max="6922" width="13.28515625" style="77" customWidth="1"/>
    <col min="6923" max="6924" width="9.140625" style="77"/>
    <col min="6925" max="6925" width="5.28515625" style="77" customWidth="1"/>
    <col min="6926" max="7168" width="9.140625" style="77"/>
    <col min="7169" max="7169" width="2.42578125" style="77" customWidth="1"/>
    <col min="7170" max="7170" width="50.5703125" style="77" customWidth="1"/>
    <col min="7171" max="7172" width="4.7109375" style="77" customWidth="1"/>
    <col min="7173" max="7173" width="13.42578125" style="77" customWidth="1"/>
    <col min="7174" max="7174" width="4.5703125" style="77" customWidth="1"/>
    <col min="7175" max="7175" width="0" style="77" hidden="1" customWidth="1"/>
    <col min="7176" max="7176" width="13.7109375" style="77" customWidth="1"/>
    <col min="7177" max="7177" width="11.7109375" style="77" customWidth="1"/>
    <col min="7178" max="7178" width="13.28515625" style="77" customWidth="1"/>
    <col min="7179" max="7180" width="9.140625" style="77"/>
    <col min="7181" max="7181" width="5.28515625" style="77" customWidth="1"/>
    <col min="7182" max="7424" width="9.140625" style="77"/>
    <col min="7425" max="7425" width="2.42578125" style="77" customWidth="1"/>
    <col min="7426" max="7426" width="50.5703125" style="77" customWidth="1"/>
    <col min="7427" max="7428" width="4.7109375" style="77" customWidth="1"/>
    <col min="7429" max="7429" width="13.42578125" style="77" customWidth="1"/>
    <col min="7430" max="7430" width="4.5703125" style="77" customWidth="1"/>
    <col min="7431" max="7431" width="0" style="77" hidden="1" customWidth="1"/>
    <col min="7432" max="7432" width="13.7109375" style="77" customWidth="1"/>
    <col min="7433" max="7433" width="11.7109375" style="77" customWidth="1"/>
    <col min="7434" max="7434" width="13.28515625" style="77" customWidth="1"/>
    <col min="7435" max="7436" width="9.140625" style="77"/>
    <col min="7437" max="7437" width="5.28515625" style="77" customWidth="1"/>
    <col min="7438" max="7680" width="9.140625" style="77"/>
    <col min="7681" max="7681" width="2.42578125" style="77" customWidth="1"/>
    <col min="7682" max="7682" width="50.5703125" style="77" customWidth="1"/>
    <col min="7683" max="7684" width="4.7109375" style="77" customWidth="1"/>
    <col min="7685" max="7685" width="13.42578125" style="77" customWidth="1"/>
    <col min="7686" max="7686" width="4.5703125" style="77" customWidth="1"/>
    <col min="7687" max="7687" width="0" style="77" hidden="1" customWidth="1"/>
    <col min="7688" max="7688" width="13.7109375" style="77" customWidth="1"/>
    <col min="7689" max="7689" width="11.7109375" style="77" customWidth="1"/>
    <col min="7690" max="7690" width="13.28515625" style="77" customWidth="1"/>
    <col min="7691" max="7692" width="9.140625" style="77"/>
    <col min="7693" max="7693" width="5.28515625" style="77" customWidth="1"/>
    <col min="7694" max="7936" width="9.140625" style="77"/>
    <col min="7937" max="7937" width="2.42578125" style="77" customWidth="1"/>
    <col min="7938" max="7938" width="50.5703125" style="77" customWidth="1"/>
    <col min="7939" max="7940" width="4.7109375" style="77" customWidth="1"/>
    <col min="7941" max="7941" width="13.42578125" style="77" customWidth="1"/>
    <col min="7942" max="7942" width="4.5703125" style="77" customWidth="1"/>
    <col min="7943" max="7943" width="0" style="77" hidden="1" customWidth="1"/>
    <col min="7944" max="7944" width="13.7109375" style="77" customWidth="1"/>
    <col min="7945" max="7945" width="11.7109375" style="77" customWidth="1"/>
    <col min="7946" max="7946" width="13.28515625" style="77" customWidth="1"/>
    <col min="7947" max="7948" width="9.140625" style="77"/>
    <col min="7949" max="7949" width="5.28515625" style="77" customWidth="1"/>
    <col min="7950" max="8192" width="9.140625" style="77"/>
    <col min="8193" max="8193" width="2.42578125" style="77" customWidth="1"/>
    <col min="8194" max="8194" width="50.5703125" style="77" customWidth="1"/>
    <col min="8195" max="8196" width="4.7109375" style="77" customWidth="1"/>
    <col min="8197" max="8197" width="13.42578125" style="77" customWidth="1"/>
    <col min="8198" max="8198" width="4.5703125" style="77" customWidth="1"/>
    <col min="8199" max="8199" width="0" style="77" hidden="1" customWidth="1"/>
    <col min="8200" max="8200" width="13.7109375" style="77" customWidth="1"/>
    <col min="8201" max="8201" width="11.7109375" style="77" customWidth="1"/>
    <col min="8202" max="8202" width="13.28515625" style="77" customWidth="1"/>
    <col min="8203" max="8204" width="9.140625" style="77"/>
    <col min="8205" max="8205" width="5.28515625" style="77" customWidth="1"/>
    <col min="8206" max="8448" width="9.140625" style="77"/>
    <col min="8449" max="8449" width="2.42578125" style="77" customWidth="1"/>
    <col min="8450" max="8450" width="50.5703125" style="77" customWidth="1"/>
    <col min="8451" max="8452" width="4.7109375" style="77" customWidth="1"/>
    <col min="8453" max="8453" width="13.42578125" style="77" customWidth="1"/>
    <col min="8454" max="8454" width="4.5703125" style="77" customWidth="1"/>
    <col min="8455" max="8455" width="0" style="77" hidden="1" customWidth="1"/>
    <col min="8456" max="8456" width="13.7109375" style="77" customWidth="1"/>
    <col min="8457" max="8457" width="11.7109375" style="77" customWidth="1"/>
    <col min="8458" max="8458" width="13.28515625" style="77" customWidth="1"/>
    <col min="8459" max="8460" width="9.140625" style="77"/>
    <col min="8461" max="8461" width="5.28515625" style="77" customWidth="1"/>
    <col min="8462" max="8704" width="9.140625" style="77"/>
    <col min="8705" max="8705" width="2.42578125" style="77" customWidth="1"/>
    <col min="8706" max="8706" width="50.5703125" style="77" customWidth="1"/>
    <col min="8707" max="8708" width="4.7109375" style="77" customWidth="1"/>
    <col min="8709" max="8709" width="13.42578125" style="77" customWidth="1"/>
    <col min="8710" max="8710" width="4.5703125" style="77" customWidth="1"/>
    <col min="8711" max="8711" width="0" style="77" hidden="1" customWidth="1"/>
    <col min="8712" max="8712" width="13.7109375" style="77" customWidth="1"/>
    <col min="8713" max="8713" width="11.7109375" style="77" customWidth="1"/>
    <col min="8714" max="8714" width="13.28515625" style="77" customWidth="1"/>
    <col min="8715" max="8716" width="9.140625" style="77"/>
    <col min="8717" max="8717" width="5.28515625" style="77" customWidth="1"/>
    <col min="8718" max="8960" width="9.140625" style="77"/>
    <col min="8961" max="8961" width="2.42578125" style="77" customWidth="1"/>
    <col min="8962" max="8962" width="50.5703125" style="77" customWidth="1"/>
    <col min="8963" max="8964" width="4.7109375" style="77" customWidth="1"/>
    <col min="8965" max="8965" width="13.42578125" style="77" customWidth="1"/>
    <col min="8966" max="8966" width="4.5703125" style="77" customWidth="1"/>
    <col min="8967" max="8967" width="0" style="77" hidden="1" customWidth="1"/>
    <col min="8968" max="8968" width="13.7109375" style="77" customWidth="1"/>
    <col min="8969" max="8969" width="11.7109375" style="77" customWidth="1"/>
    <col min="8970" max="8970" width="13.28515625" style="77" customWidth="1"/>
    <col min="8971" max="8972" width="9.140625" style="77"/>
    <col min="8973" max="8973" width="5.28515625" style="77" customWidth="1"/>
    <col min="8974" max="9216" width="9.140625" style="77"/>
    <col min="9217" max="9217" width="2.42578125" style="77" customWidth="1"/>
    <col min="9218" max="9218" width="50.5703125" style="77" customWidth="1"/>
    <col min="9219" max="9220" width="4.7109375" style="77" customWidth="1"/>
    <col min="9221" max="9221" width="13.42578125" style="77" customWidth="1"/>
    <col min="9222" max="9222" width="4.5703125" style="77" customWidth="1"/>
    <col min="9223" max="9223" width="0" style="77" hidden="1" customWidth="1"/>
    <col min="9224" max="9224" width="13.7109375" style="77" customWidth="1"/>
    <col min="9225" max="9225" width="11.7109375" style="77" customWidth="1"/>
    <col min="9226" max="9226" width="13.28515625" style="77" customWidth="1"/>
    <col min="9227" max="9228" width="9.140625" style="77"/>
    <col min="9229" max="9229" width="5.28515625" style="77" customWidth="1"/>
    <col min="9230" max="9472" width="9.140625" style="77"/>
    <col min="9473" max="9473" width="2.42578125" style="77" customWidth="1"/>
    <col min="9474" max="9474" width="50.5703125" style="77" customWidth="1"/>
    <col min="9475" max="9476" width="4.7109375" style="77" customWidth="1"/>
    <col min="9477" max="9477" width="13.42578125" style="77" customWidth="1"/>
    <col min="9478" max="9478" width="4.5703125" style="77" customWidth="1"/>
    <col min="9479" max="9479" width="0" style="77" hidden="1" customWidth="1"/>
    <col min="9480" max="9480" width="13.7109375" style="77" customWidth="1"/>
    <col min="9481" max="9481" width="11.7109375" style="77" customWidth="1"/>
    <col min="9482" max="9482" width="13.28515625" style="77" customWidth="1"/>
    <col min="9483" max="9484" width="9.140625" style="77"/>
    <col min="9485" max="9485" width="5.28515625" style="77" customWidth="1"/>
    <col min="9486" max="9728" width="9.140625" style="77"/>
    <col min="9729" max="9729" width="2.42578125" style="77" customWidth="1"/>
    <col min="9730" max="9730" width="50.5703125" style="77" customWidth="1"/>
    <col min="9731" max="9732" width="4.7109375" style="77" customWidth="1"/>
    <col min="9733" max="9733" width="13.42578125" style="77" customWidth="1"/>
    <col min="9734" max="9734" width="4.5703125" style="77" customWidth="1"/>
    <col min="9735" max="9735" width="0" style="77" hidden="1" customWidth="1"/>
    <col min="9736" max="9736" width="13.7109375" style="77" customWidth="1"/>
    <col min="9737" max="9737" width="11.7109375" style="77" customWidth="1"/>
    <col min="9738" max="9738" width="13.28515625" style="77" customWidth="1"/>
    <col min="9739" max="9740" width="9.140625" style="77"/>
    <col min="9741" max="9741" width="5.28515625" style="77" customWidth="1"/>
    <col min="9742" max="9984" width="9.140625" style="77"/>
    <col min="9985" max="9985" width="2.42578125" style="77" customWidth="1"/>
    <col min="9986" max="9986" width="50.5703125" style="77" customWidth="1"/>
    <col min="9987" max="9988" width="4.7109375" style="77" customWidth="1"/>
    <col min="9989" max="9989" width="13.42578125" style="77" customWidth="1"/>
    <col min="9990" max="9990" width="4.5703125" style="77" customWidth="1"/>
    <col min="9991" max="9991" width="0" style="77" hidden="1" customWidth="1"/>
    <col min="9992" max="9992" width="13.7109375" style="77" customWidth="1"/>
    <col min="9993" max="9993" width="11.7109375" style="77" customWidth="1"/>
    <col min="9994" max="9994" width="13.28515625" style="77" customWidth="1"/>
    <col min="9995" max="9996" width="9.140625" style="77"/>
    <col min="9997" max="9997" width="5.28515625" style="77" customWidth="1"/>
    <col min="9998" max="10240" width="9.140625" style="77"/>
    <col min="10241" max="10241" width="2.42578125" style="77" customWidth="1"/>
    <col min="10242" max="10242" width="50.5703125" style="77" customWidth="1"/>
    <col min="10243" max="10244" width="4.7109375" style="77" customWidth="1"/>
    <col min="10245" max="10245" width="13.42578125" style="77" customWidth="1"/>
    <col min="10246" max="10246" width="4.5703125" style="77" customWidth="1"/>
    <col min="10247" max="10247" width="0" style="77" hidden="1" customWidth="1"/>
    <col min="10248" max="10248" width="13.7109375" style="77" customWidth="1"/>
    <col min="10249" max="10249" width="11.7109375" style="77" customWidth="1"/>
    <col min="10250" max="10250" width="13.28515625" style="77" customWidth="1"/>
    <col min="10251" max="10252" width="9.140625" style="77"/>
    <col min="10253" max="10253" width="5.28515625" style="77" customWidth="1"/>
    <col min="10254" max="10496" width="9.140625" style="77"/>
    <col min="10497" max="10497" width="2.42578125" style="77" customWidth="1"/>
    <col min="10498" max="10498" width="50.5703125" style="77" customWidth="1"/>
    <col min="10499" max="10500" width="4.7109375" style="77" customWidth="1"/>
    <col min="10501" max="10501" width="13.42578125" style="77" customWidth="1"/>
    <col min="10502" max="10502" width="4.5703125" style="77" customWidth="1"/>
    <col min="10503" max="10503" width="0" style="77" hidden="1" customWidth="1"/>
    <col min="10504" max="10504" width="13.7109375" style="77" customWidth="1"/>
    <col min="10505" max="10505" width="11.7109375" style="77" customWidth="1"/>
    <col min="10506" max="10506" width="13.28515625" style="77" customWidth="1"/>
    <col min="10507" max="10508" width="9.140625" style="77"/>
    <col min="10509" max="10509" width="5.28515625" style="77" customWidth="1"/>
    <col min="10510" max="10752" width="9.140625" style="77"/>
    <col min="10753" max="10753" width="2.42578125" style="77" customWidth="1"/>
    <col min="10754" max="10754" width="50.5703125" style="77" customWidth="1"/>
    <col min="10755" max="10756" width="4.7109375" style="77" customWidth="1"/>
    <col min="10757" max="10757" width="13.42578125" style="77" customWidth="1"/>
    <col min="10758" max="10758" width="4.5703125" style="77" customWidth="1"/>
    <col min="10759" max="10759" width="0" style="77" hidden="1" customWidth="1"/>
    <col min="10760" max="10760" width="13.7109375" style="77" customWidth="1"/>
    <col min="10761" max="10761" width="11.7109375" style="77" customWidth="1"/>
    <col min="10762" max="10762" width="13.28515625" style="77" customWidth="1"/>
    <col min="10763" max="10764" width="9.140625" style="77"/>
    <col min="10765" max="10765" width="5.28515625" style="77" customWidth="1"/>
    <col min="10766" max="11008" width="9.140625" style="77"/>
    <col min="11009" max="11009" width="2.42578125" style="77" customWidth="1"/>
    <col min="11010" max="11010" width="50.5703125" style="77" customWidth="1"/>
    <col min="11011" max="11012" width="4.7109375" style="77" customWidth="1"/>
    <col min="11013" max="11013" width="13.42578125" style="77" customWidth="1"/>
    <col min="11014" max="11014" width="4.5703125" style="77" customWidth="1"/>
    <col min="11015" max="11015" width="0" style="77" hidden="1" customWidth="1"/>
    <col min="11016" max="11016" width="13.7109375" style="77" customWidth="1"/>
    <col min="11017" max="11017" width="11.7109375" style="77" customWidth="1"/>
    <col min="11018" max="11018" width="13.28515625" style="77" customWidth="1"/>
    <col min="11019" max="11020" width="9.140625" style="77"/>
    <col min="11021" max="11021" width="5.28515625" style="77" customWidth="1"/>
    <col min="11022" max="11264" width="9.140625" style="77"/>
    <col min="11265" max="11265" width="2.42578125" style="77" customWidth="1"/>
    <col min="11266" max="11266" width="50.5703125" style="77" customWidth="1"/>
    <col min="11267" max="11268" width="4.7109375" style="77" customWidth="1"/>
    <col min="11269" max="11269" width="13.42578125" style="77" customWidth="1"/>
    <col min="11270" max="11270" width="4.5703125" style="77" customWidth="1"/>
    <col min="11271" max="11271" width="0" style="77" hidden="1" customWidth="1"/>
    <col min="11272" max="11272" width="13.7109375" style="77" customWidth="1"/>
    <col min="11273" max="11273" width="11.7109375" style="77" customWidth="1"/>
    <col min="11274" max="11274" width="13.28515625" style="77" customWidth="1"/>
    <col min="11275" max="11276" width="9.140625" style="77"/>
    <col min="11277" max="11277" width="5.28515625" style="77" customWidth="1"/>
    <col min="11278" max="11520" width="9.140625" style="77"/>
    <col min="11521" max="11521" width="2.42578125" style="77" customWidth="1"/>
    <col min="11522" max="11522" width="50.5703125" style="77" customWidth="1"/>
    <col min="11523" max="11524" width="4.7109375" style="77" customWidth="1"/>
    <col min="11525" max="11525" width="13.42578125" style="77" customWidth="1"/>
    <col min="11526" max="11526" width="4.5703125" style="77" customWidth="1"/>
    <col min="11527" max="11527" width="0" style="77" hidden="1" customWidth="1"/>
    <col min="11528" max="11528" width="13.7109375" style="77" customWidth="1"/>
    <col min="11529" max="11529" width="11.7109375" style="77" customWidth="1"/>
    <col min="11530" max="11530" width="13.28515625" style="77" customWidth="1"/>
    <col min="11531" max="11532" width="9.140625" style="77"/>
    <col min="11533" max="11533" width="5.28515625" style="77" customWidth="1"/>
    <col min="11534" max="11776" width="9.140625" style="77"/>
    <col min="11777" max="11777" width="2.42578125" style="77" customWidth="1"/>
    <col min="11778" max="11778" width="50.5703125" style="77" customWidth="1"/>
    <col min="11779" max="11780" width="4.7109375" style="77" customWidth="1"/>
    <col min="11781" max="11781" width="13.42578125" style="77" customWidth="1"/>
    <col min="11782" max="11782" width="4.5703125" style="77" customWidth="1"/>
    <col min="11783" max="11783" width="0" style="77" hidden="1" customWidth="1"/>
    <col min="11784" max="11784" width="13.7109375" style="77" customWidth="1"/>
    <col min="11785" max="11785" width="11.7109375" style="77" customWidth="1"/>
    <col min="11786" max="11786" width="13.28515625" style="77" customWidth="1"/>
    <col min="11787" max="11788" width="9.140625" style="77"/>
    <col min="11789" max="11789" width="5.28515625" style="77" customWidth="1"/>
    <col min="11790" max="12032" width="9.140625" style="77"/>
    <col min="12033" max="12033" width="2.42578125" style="77" customWidth="1"/>
    <col min="12034" max="12034" width="50.5703125" style="77" customWidth="1"/>
    <col min="12035" max="12036" width="4.7109375" style="77" customWidth="1"/>
    <col min="12037" max="12037" width="13.42578125" style="77" customWidth="1"/>
    <col min="12038" max="12038" width="4.5703125" style="77" customWidth="1"/>
    <col min="12039" max="12039" width="0" style="77" hidden="1" customWidth="1"/>
    <col min="12040" max="12040" width="13.7109375" style="77" customWidth="1"/>
    <col min="12041" max="12041" width="11.7109375" style="77" customWidth="1"/>
    <col min="12042" max="12042" width="13.28515625" style="77" customWidth="1"/>
    <col min="12043" max="12044" width="9.140625" style="77"/>
    <col min="12045" max="12045" width="5.28515625" style="77" customWidth="1"/>
    <col min="12046" max="12288" width="9.140625" style="77"/>
    <col min="12289" max="12289" width="2.42578125" style="77" customWidth="1"/>
    <col min="12290" max="12290" width="50.5703125" style="77" customWidth="1"/>
    <col min="12291" max="12292" width="4.7109375" style="77" customWidth="1"/>
    <col min="12293" max="12293" width="13.42578125" style="77" customWidth="1"/>
    <col min="12294" max="12294" width="4.5703125" style="77" customWidth="1"/>
    <col min="12295" max="12295" width="0" style="77" hidden="1" customWidth="1"/>
    <col min="12296" max="12296" width="13.7109375" style="77" customWidth="1"/>
    <col min="12297" max="12297" width="11.7109375" style="77" customWidth="1"/>
    <col min="12298" max="12298" width="13.28515625" style="77" customWidth="1"/>
    <col min="12299" max="12300" width="9.140625" style="77"/>
    <col min="12301" max="12301" width="5.28515625" style="77" customWidth="1"/>
    <col min="12302" max="12544" width="9.140625" style="77"/>
    <col min="12545" max="12545" width="2.42578125" style="77" customWidth="1"/>
    <col min="12546" max="12546" width="50.5703125" style="77" customWidth="1"/>
    <col min="12547" max="12548" width="4.7109375" style="77" customWidth="1"/>
    <col min="12549" max="12549" width="13.42578125" style="77" customWidth="1"/>
    <col min="12550" max="12550" width="4.5703125" style="77" customWidth="1"/>
    <col min="12551" max="12551" width="0" style="77" hidden="1" customWidth="1"/>
    <col min="12552" max="12552" width="13.7109375" style="77" customWidth="1"/>
    <col min="12553" max="12553" width="11.7109375" style="77" customWidth="1"/>
    <col min="12554" max="12554" width="13.28515625" style="77" customWidth="1"/>
    <col min="12555" max="12556" width="9.140625" style="77"/>
    <col min="12557" max="12557" width="5.28515625" style="77" customWidth="1"/>
    <col min="12558" max="12800" width="9.140625" style="77"/>
    <col min="12801" max="12801" width="2.42578125" style="77" customWidth="1"/>
    <col min="12802" max="12802" width="50.5703125" style="77" customWidth="1"/>
    <col min="12803" max="12804" width="4.7109375" style="77" customWidth="1"/>
    <col min="12805" max="12805" width="13.42578125" style="77" customWidth="1"/>
    <col min="12806" max="12806" width="4.5703125" style="77" customWidth="1"/>
    <col min="12807" max="12807" width="0" style="77" hidden="1" customWidth="1"/>
    <col min="12808" max="12808" width="13.7109375" style="77" customWidth="1"/>
    <col min="12809" max="12809" width="11.7109375" style="77" customWidth="1"/>
    <col min="12810" max="12810" width="13.28515625" style="77" customWidth="1"/>
    <col min="12811" max="12812" width="9.140625" style="77"/>
    <col min="12813" max="12813" width="5.28515625" style="77" customWidth="1"/>
    <col min="12814" max="13056" width="9.140625" style="77"/>
    <col min="13057" max="13057" width="2.42578125" style="77" customWidth="1"/>
    <col min="13058" max="13058" width="50.5703125" style="77" customWidth="1"/>
    <col min="13059" max="13060" width="4.7109375" style="77" customWidth="1"/>
    <col min="13061" max="13061" width="13.42578125" style="77" customWidth="1"/>
    <col min="13062" max="13062" width="4.5703125" style="77" customWidth="1"/>
    <col min="13063" max="13063" width="0" style="77" hidden="1" customWidth="1"/>
    <col min="13064" max="13064" width="13.7109375" style="77" customWidth="1"/>
    <col min="13065" max="13065" width="11.7109375" style="77" customWidth="1"/>
    <col min="13066" max="13066" width="13.28515625" style="77" customWidth="1"/>
    <col min="13067" max="13068" width="9.140625" style="77"/>
    <col min="13069" max="13069" width="5.28515625" style="77" customWidth="1"/>
    <col min="13070" max="13312" width="9.140625" style="77"/>
    <col min="13313" max="13313" width="2.42578125" style="77" customWidth="1"/>
    <col min="13314" max="13314" width="50.5703125" style="77" customWidth="1"/>
    <col min="13315" max="13316" width="4.7109375" style="77" customWidth="1"/>
    <col min="13317" max="13317" width="13.42578125" style="77" customWidth="1"/>
    <col min="13318" max="13318" width="4.5703125" style="77" customWidth="1"/>
    <col min="13319" max="13319" width="0" style="77" hidden="1" customWidth="1"/>
    <col min="13320" max="13320" width="13.7109375" style="77" customWidth="1"/>
    <col min="13321" max="13321" width="11.7109375" style="77" customWidth="1"/>
    <col min="13322" max="13322" width="13.28515625" style="77" customWidth="1"/>
    <col min="13323" max="13324" width="9.140625" style="77"/>
    <col min="13325" max="13325" width="5.28515625" style="77" customWidth="1"/>
    <col min="13326" max="13568" width="9.140625" style="77"/>
    <col min="13569" max="13569" width="2.42578125" style="77" customWidth="1"/>
    <col min="13570" max="13570" width="50.5703125" style="77" customWidth="1"/>
    <col min="13571" max="13572" width="4.7109375" style="77" customWidth="1"/>
    <col min="13573" max="13573" width="13.42578125" style="77" customWidth="1"/>
    <col min="13574" max="13574" width="4.5703125" style="77" customWidth="1"/>
    <col min="13575" max="13575" width="0" style="77" hidden="1" customWidth="1"/>
    <col min="13576" max="13576" width="13.7109375" style="77" customWidth="1"/>
    <col min="13577" max="13577" width="11.7109375" style="77" customWidth="1"/>
    <col min="13578" max="13578" width="13.28515625" style="77" customWidth="1"/>
    <col min="13579" max="13580" width="9.140625" style="77"/>
    <col min="13581" max="13581" width="5.28515625" style="77" customWidth="1"/>
    <col min="13582" max="13824" width="9.140625" style="77"/>
    <col min="13825" max="13825" width="2.42578125" style="77" customWidth="1"/>
    <col min="13826" max="13826" width="50.5703125" style="77" customWidth="1"/>
    <col min="13827" max="13828" width="4.7109375" style="77" customWidth="1"/>
    <col min="13829" max="13829" width="13.42578125" style="77" customWidth="1"/>
    <col min="13830" max="13830" width="4.5703125" style="77" customWidth="1"/>
    <col min="13831" max="13831" width="0" style="77" hidden="1" customWidth="1"/>
    <col min="13832" max="13832" width="13.7109375" style="77" customWidth="1"/>
    <col min="13833" max="13833" width="11.7109375" style="77" customWidth="1"/>
    <col min="13834" max="13834" width="13.28515625" style="77" customWidth="1"/>
    <col min="13835" max="13836" width="9.140625" style="77"/>
    <col min="13837" max="13837" width="5.28515625" style="77" customWidth="1"/>
    <col min="13838" max="14080" width="9.140625" style="77"/>
    <col min="14081" max="14081" width="2.42578125" style="77" customWidth="1"/>
    <col min="14082" max="14082" width="50.5703125" style="77" customWidth="1"/>
    <col min="14083" max="14084" width="4.7109375" style="77" customWidth="1"/>
    <col min="14085" max="14085" width="13.42578125" style="77" customWidth="1"/>
    <col min="14086" max="14086" width="4.5703125" style="77" customWidth="1"/>
    <col min="14087" max="14087" width="0" style="77" hidden="1" customWidth="1"/>
    <col min="14088" max="14088" width="13.7109375" style="77" customWidth="1"/>
    <col min="14089" max="14089" width="11.7109375" style="77" customWidth="1"/>
    <col min="14090" max="14090" width="13.28515625" style="77" customWidth="1"/>
    <col min="14091" max="14092" width="9.140625" style="77"/>
    <col min="14093" max="14093" width="5.28515625" style="77" customWidth="1"/>
    <col min="14094" max="14336" width="9.140625" style="77"/>
    <col min="14337" max="14337" width="2.42578125" style="77" customWidth="1"/>
    <col min="14338" max="14338" width="50.5703125" style="77" customWidth="1"/>
    <col min="14339" max="14340" width="4.7109375" style="77" customWidth="1"/>
    <col min="14341" max="14341" width="13.42578125" style="77" customWidth="1"/>
    <col min="14342" max="14342" width="4.5703125" style="77" customWidth="1"/>
    <col min="14343" max="14343" width="0" style="77" hidden="1" customWidth="1"/>
    <col min="14344" max="14344" width="13.7109375" style="77" customWidth="1"/>
    <col min="14345" max="14345" width="11.7109375" style="77" customWidth="1"/>
    <col min="14346" max="14346" width="13.28515625" style="77" customWidth="1"/>
    <col min="14347" max="14348" width="9.140625" style="77"/>
    <col min="14349" max="14349" width="5.28515625" style="77" customWidth="1"/>
    <col min="14350" max="14592" width="9.140625" style="77"/>
    <col min="14593" max="14593" width="2.42578125" style="77" customWidth="1"/>
    <col min="14594" max="14594" width="50.5703125" style="77" customWidth="1"/>
    <col min="14595" max="14596" width="4.7109375" style="77" customWidth="1"/>
    <col min="14597" max="14597" width="13.42578125" style="77" customWidth="1"/>
    <col min="14598" max="14598" width="4.5703125" style="77" customWidth="1"/>
    <col min="14599" max="14599" width="0" style="77" hidden="1" customWidth="1"/>
    <col min="14600" max="14600" width="13.7109375" style="77" customWidth="1"/>
    <col min="14601" max="14601" width="11.7109375" style="77" customWidth="1"/>
    <col min="14602" max="14602" width="13.28515625" style="77" customWidth="1"/>
    <col min="14603" max="14604" width="9.140625" style="77"/>
    <col min="14605" max="14605" width="5.28515625" style="77" customWidth="1"/>
    <col min="14606" max="14848" width="9.140625" style="77"/>
    <col min="14849" max="14849" width="2.42578125" style="77" customWidth="1"/>
    <col min="14850" max="14850" width="50.5703125" style="77" customWidth="1"/>
    <col min="14851" max="14852" width="4.7109375" style="77" customWidth="1"/>
    <col min="14853" max="14853" width="13.42578125" style="77" customWidth="1"/>
    <col min="14854" max="14854" width="4.5703125" style="77" customWidth="1"/>
    <col min="14855" max="14855" width="0" style="77" hidden="1" customWidth="1"/>
    <col min="14856" max="14856" width="13.7109375" style="77" customWidth="1"/>
    <col min="14857" max="14857" width="11.7109375" style="77" customWidth="1"/>
    <col min="14858" max="14858" width="13.28515625" style="77" customWidth="1"/>
    <col min="14859" max="14860" width="9.140625" style="77"/>
    <col min="14861" max="14861" width="5.28515625" style="77" customWidth="1"/>
    <col min="14862" max="15104" width="9.140625" style="77"/>
    <col min="15105" max="15105" width="2.42578125" style="77" customWidth="1"/>
    <col min="15106" max="15106" width="50.5703125" style="77" customWidth="1"/>
    <col min="15107" max="15108" width="4.7109375" style="77" customWidth="1"/>
    <col min="15109" max="15109" width="13.42578125" style="77" customWidth="1"/>
    <col min="15110" max="15110" width="4.5703125" style="77" customWidth="1"/>
    <col min="15111" max="15111" width="0" style="77" hidden="1" customWidth="1"/>
    <col min="15112" max="15112" width="13.7109375" style="77" customWidth="1"/>
    <col min="15113" max="15113" width="11.7109375" style="77" customWidth="1"/>
    <col min="15114" max="15114" width="13.28515625" style="77" customWidth="1"/>
    <col min="15115" max="15116" width="9.140625" style="77"/>
    <col min="15117" max="15117" width="5.28515625" style="77" customWidth="1"/>
    <col min="15118" max="15360" width="9.140625" style="77"/>
    <col min="15361" max="15361" width="2.42578125" style="77" customWidth="1"/>
    <col min="15362" max="15362" width="50.5703125" style="77" customWidth="1"/>
    <col min="15363" max="15364" width="4.7109375" style="77" customWidth="1"/>
    <col min="15365" max="15365" width="13.42578125" style="77" customWidth="1"/>
    <col min="15366" max="15366" width="4.5703125" style="77" customWidth="1"/>
    <col min="15367" max="15367" width="0" style="77" hidden="1" customWidth="1"/>
    <col min="15368" max="15368" width="13.7109375" style="77" customWidth="1"/>
    <col min="15369" max="15369" width="11.7109375" style="77" customWidth="1"/>
    <col min="15370" max="15370" width="13.28515625" style="77" customWidth="1"/>
    <col min="15371" max="15372" width="9.140625" style="77"/>
    <col min="15373" max="15373" width="5.28515625" style="77" customWidth="1"/>
    <col min="15374" max="15616" width="9.140625" style="77"/>
    <col min="15617" max="15617" width="2.42578125" style="77" customWidth="1"/>
    <col min="15618" max="15618" width="50.5703125" style="77" customWidth="1"/>
    <col min="15619" max="15620" width="4.7109375" style="77" customWidth="1"/>
    <col min="15621" max="15621" width="13.42578125" style="77" customWidth="1"/>
    <col min="15622" max="15622" width="4.5703125" style="77" customWidth="1"/>
    <col min="15623" max="15623" width="0" style="77" hidden="1" customWidth="1"/>
    <col min="15624" max="15624" width="13.7109375" style="77" customWidth="1"/>
    <col min="15625" max="15625" width="11.7109375" style="77" customWidth="1"/>
    <col min="15626" max="15626" width="13.28515625" style="77" customWidth="1"/>
    <col min="15627" max="15628" width="9.140625" style="77"/>
    <col min="15629" max="15629" width="5.28515625" style="77" customWidth="1"/>
    <col min="15630" max="15872" width="9.140625" style="77"/>
    <col min="15873" max="15873" width="2.42578125" style="77" customWidth="1"/>
    <col min="15874" max="15874" width="50.5703125" style="77" customWidth="1"/>
    <col min="15875" max="15876" width="4.7109375" style="77" customWidth="1"/>
    <col min="15877" max="15877" width="13.42578125" style="77" customWidth="1"/>
    <col min="15878" max="15878" width="4.5703125" style="77" customWidth="1"/>
    <col min="15879" max="15879" width="0" style="77" hidden="1" customWidth="1"/>
    <col min="15880" max="15880" width="13.7109375" style="77" customWidth="1"/>
    <col min="15881" max="15881" width="11.7109375" style="77" customWidth="1"/>
    <col min="15882" max="15882" width="13.28515625" style="77" customWidth="1"/>
    <col min="15883" max="15884" width="9.140625" style="77"/>
    <col min="15885" max="15885" width="5.28515625" style="77" customWidth="1"/>
    <col min="15886" max="16128" width="9.140625" style="77"/>
    <col min="16129" max="16129" width="2.42578125" style="77" customWidth="1"/>
    <col min="16130" max="16130" width="50.5703125" style="77" customWidth="1"/>
    <col min="16131" max="16132" width="4.7109375" style="77" customWidth="1"/>
    <col min="16133" max="16133" width="13.42578125" style="77" customWidth="1"/>
    <col min="16134" max="16134" width="4.5703125" style="77" customWidth="1"/>
    <col min="16135" max="16135" width="0" style="77" hidden="1" customWidth="1"/>
    <col min="16136" max="16136" width="13.7109375" style="77" customWidth="1"/>
    <col min="16137" max="16137" width="11.7109375" style="77" customWidth="1"/>
    <col min="16138" max="16138" width="13.28515625" style="77" customWidth="1"/>
    <col min="16139" max="16140" width="9.140625" style="77"/>
    <col min="16141" max="16141" width="5.28515625" style="77" customWidth="1"/>
    <col min="16142" max="16384" width="9.140625" style="77"/>
  </cols>
  <sheetData>
    <row r="1" spans="1:15" s="1" customFormat="1" ht="29.25" customHeight="1" x14ac:dyDescent="0.25">
      <c r="A1" s="126" t="s">
        <v>686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5" ht="13.5" customHeight="1" x14ac:dyDescent="0.25">
      <c r="A2" s="130"/>
      <c r="B2" s="130"/>
      <c r="C2" s="130"/>
      <c r="D2" s="130"/>
      <c r="E2" s="130"/>
      <c r="F2" s="130"/>
      <c r="G2" s="130"/>
      <c r="H2" s="76" t="s">
        <v>283</v>
      </c>
    </row>
    <row r="3" spans="1:15" s="41" customFormat="1" ht="23.25" customHeight="1" x14ac:dyDescent="0.25">
      <c r="A3" s="131" t="s">
        <v>0</v>
      </c>
      <c r="B3" s="131"/>
      <c r="C3" s="78" t="s">
        <v>1</v>
      </c>
      <c r="D3" s="78" t="s">
        <v>2</v>
      </c>
      <c r="E3" s="78" t="s">
        <v>3</v>
      </c>
      <c r="F3" s="78" t="s">
        <v>4</v>
      </c>
      <c r="G3" s="46" t="s">
        <v>523</v>
      </c>
      <c r="H3" s="46" t="s">
        <v>286</v>
      </c>
      <c r="I3" s="46" t="s">
        <v>287</v>
      </c>
      <c r="J3" s="46" t="s">
        <v>524</v>
      </c>
    </row>
    <row r="4" spans="1:15" s="4" customFormat="1" ht="15.75" customHeight="1" x14ac:dyDescent="0.25">
      <c r="A4" s="132" t="s">
        <v>5</v>
      </c>
      <c r="B4" s="132"/>
      <c r="C4" s="79" t="s">
        <v>6</v>
      </c>
      <c r="D4" s="79"/>
      <c r="E4" s="79"/>
      <c r="F4" s="79"/>
      <c r="G4" s="80" t="e">
        <f>G5+G9+G18+G29+G36+G42</f>
        <v>#REF!</v>
      </c>
      <c r="H4" s="80">
        <f>H5+H9+H18+H29+H36+H42</f>
        <v>13831.944000000001</v>
      </c>
      <c r="I4" s="80">
        <f>I5+I9+I18+I29+I36+I42</f>
        <v>-29.5</v>
      </c>
      <c r="J4" s="80">
        <f>J5+J9+J18+J29+J36+J42</f>
        <v>13160.332999999999</v>
      </c>
    </row>
    <row r="5" spans="1:15" s="6" customFormat="1" ht="26.25" customHeight="1" x14ac:dyDescent="0.25">
      <c r="A5" s="128" t="s">
        <v>525</v>
      </c>
      <c r="B5" s="128"/>
      <c r="C5" s="81" t="s">
        <v>6</v>
      </c>
      <c r="D5" s="81" t="s">
        <v>51</v>
      </c>
      <c r="E5" s="81"/>
      <c r="F5" s="81"/>
      <c r="G5" s="82">
        <f t="shared" ref="G5:J7" si="0">G6</f>
        <v>636.16549127999997</v>
      </c>
      <c r="H5" s="82">
        <f t="shared" si="0"/>
        <v>656.1</v>
      </c>
      <c r="I5" s="82">
        <f t="shared" si="0"/>
        <v>0</v>
      </c>
      <c r="J5" s="82">
        <f t="shared" si="0"/>
        <v>646.1</v>
      </c>
    </row>
    <row r="6" spans="1:15" s="1" customFormat="1" ht="40.5" customHeight="1" x14ac:dyDescent="0.25">
      <c r="A6" s="129" t="s">
        <v>9</v>
      </c>
      <c r="B6" s="129"/>
      <c r="C6" s="3" t="s">
        <v>6</v>
      </c>
      <c r="D6" s="3" t="s">
        <v>51</v>
      </c>
      <c r="E6" s="3" t="s">
        <v>19</v>
      </c>
      <c r="F6" s="3"/>
      <c r="G6" s="83">
        <f t="shared" si="0"/>
        <v>636.16549127999997</v>
      </c>
      <c r="H6" s="83">
        <f t="shared" si="0"/>
        <v>656.1</v>
      </c>
      <c r="I6" s="83">
        <f t="shared" si="0"/>
        <v>0</v>
      </c>
      <c r="J6" s="83">
        <f t="shared" si="0"/>
        <v>646.1</v>
      </c>
    </row>
    <row r="7" spans="1:15" s="1" customFormat="1" ht="12.75" customHeight="1" x14ac:dyDescent="0.25">
      <c r="A7" s="129" t="s">
        <v>526</v>
      </c>
      <c r="B7" s="129"/>
      <c r="C7" s="3" t="s">
        <v>6</v>
      </c>
      <c r="D7" s="3" t="s">
        <v>51</v>
      </c>
      <c r="E7" s="3" t="s">
        <v>527</v>
      </c>
      <c r="F7" s="3"/>
      <c r="G7" s="83">
        <f t="shared" si="0"/>
        <v>636.16549127999997</v>
      </c>
      <c r="H7" s="83">
        <f t="shared" si="0"/>
        <v>656.1</v>
      </c>
      <c r="I7" s="83">
        <f t="shared" si="0"/>
        <v>0</v>
      </c>
      <c r="J7" s="83">
        <f t="shared" si="0"/>
        <v>646.1</v>
      </c>
    </row>
    <row r="8" spans="1:15" s="1" customFormat="1" ht="15.75" customHeight="1" x14ac:dyDescent="0.25">
      <c r="A8" s="84"/>
      <c r="B8" s="84" t="s">
        <v>40</v>
      </c>
      <c r="C8" s="3" t="s">
        <v>6</v>
      </c>
      <c r="D8" s="3" t="s">
        <v>51</v>
      </c>
      <c r="E8" s="3" t="s">
        <v>527</v>
      </c>
      <c r="F8" s="3" t="s">
        <v>41</v>
      </c>
      <c r="G8" s="83">
        <f>[1]Свод!J36/1000</f>
        <v>636.16549127999997</v>
      </c>
      <c r="H8" s="83">
        <v>656.1</v>
      </c>
      <c r="I8" s="83"/>
      <c r="J8" s="85">
        <f>H8+I8-10</f>
        <v>646.1</v>
      </c>
      <c r="N8" s="11"/>
      <c r="O8" s="1">
        <v>20</v>
      </c>
    </row>
    <row r="9" spans="1:15" s="6" customFormat="1" ht="42" customHeight="1" x14ac:dyDescent="0.25">
      <c r="A9" s="128" t="s">
        <v>7</v>
      </c>
      <c r="B9" s="128"/>
      <c r="C9" s="81" t="s">
        <v>6</v>
      </c>
      <c r="D9" s="81" t="s">
        <v>8</v>
      </c>
      <c r="E9" s="81"/>
      <c r="F9" s="81"/>
      <c r="G9" s="86">
        <f t="shared" ref="G9:J10" si="1">G10</f>
        <v>717.10813324000014</v>
      </c>
      <c r="H9" s="86">
        <f t="shared" si="1"/>
        <v>717.1</v>
      </c>
      <c r="I9" s="86">
        <f t="shared" si="1"/>
        <v>0</v>
      </c>
      <c r="J9" s="86">
        <f t="shared" si="1"/>
        <v>700.26600000000008</v>
      </c>
    </row>
    <row r="10" spans="1:15" s="1" customFormat="1" ht="39.75" customHeight="1" x14ac:dyDescent="0.25">
      <c r="A10" s="129" t="s">
        <v>9</v>
      </c>
      <c r="B10" s="129"/>
      <c r="C10" s="3" t="s">
        <v>6</v>
      </c>
      <c r="D10" s="3" t="s">
        <v>8</v>
      </c>
      <c r="E10" s="3" t="s">
        <v>10</v>
      </c>
      <c r="F10" s="3"/>
      <c r="G10" s="85">
        <f t="shared" si="1"/>
        <v>717.10813324000014</v>
      </c>
      <c r="H10" s="85">
        <f t="shared" si="1"/>
        <v>717.1</v>
      </c>
      <c r="I10" s="85">
        <f t="shared" si="1"/>
        <v>0</v>
      </c>
      <c r="J10" s="85">
        <f t="shared" si="1"/>
        <v>700.26600000000008</v>
      </c>
    </row>
    <row r="11" spans="1:15" s="1" customFormat="1" ht="12.75" customHeight="1" x14ac:dyDescent="0.25">
      <c r="A11" s="129" t="s">
        <v>11</v>
      </c>
      <c r="B11" s="129"/>
      <c r="C11" s="3" t="s">
        <v>6</v>
      </c>
      <c r="D11" s="3" t="s">
        <v>8</v>
      </c>
      <c r="E11" s="3" t="s">
        <v>12</v>
      </c>
      <c r="F11" s="3"/>
      <c r="G11" s="85">
        <f>G12+G14+G16</f>
        <v>717.10813324000014</v>
      </c>
      <c r="H11" s="85">
        <f>H12+H14+H16</f>
        <v>717.1</v>
      </c>
      <c r="I11" s="85">
        <f>I12+I14+I16</f>
        <v>0</v>
      </c>
      <c r="J11" s="85">
        <f>J12+J14+J16</f>
        <v>700.26600000000008</v>
      </c>
    </row>
    <row r="12" spans="1:15" s="1" customFormat="1" ht="12.75" customHeight="1" x14ac:dyDescent="0.25">
      <c r="A12" s="129" t="s">
        <v>13</v>
      </c>
      <c r="B12" s="129"/>
      <c r="C12" s="3" t="s">
        <v>6</v>
      </c>
      <c r="D12" s="3" t="s">
        <v>8</v>
      </c>
      <c r="E12" s="3" t="s">
        <v>14</v>
      </c>
      <c r="F12" s="3"/>
      <c r="G12" s="85">
        <f>G13</f>
        <v>476.60934324000004</v>
      </c>
      <c r="H12" s="85">
        <f>H13</f>
        <v>476.6</v>
      </c>
      <c r="I12" s="85">
        <f>I13</f>
        <v>0</v>
      </c>
      <c r="J12" s="85">
        <f>J13</f>
        <v>462.43600000000004</v>
      </c>
    </row>
    <row r="13" spans="1:15" s="1" customFormat="1" ht="15.75" customHeight="1" x14ac:dyDescent="0.25">
      <c r="A13" s="55"/>
      <c r="B13" s="84" t="s">
        <v>40</v>
      </c>
      <c r="C13" s="3" t="s">
        <v>6</v>
      </c>
      <c r="D13" s="3" t="s">
        <v>8</v>
      </c>
      <c r="E13" s="3" t="s">
        <v>14</v>
      </c>
      <c r="F13" s="3" t="s">
        <v>41</v>
      </c>
      <c r="G13" s="85">
        <f>[1]Свод!K70/1000</f>
        <v>476.60934324000004</v>
      </c>
      <c r="H13" s="85">
        <v>476.6</v>
      </c>
      <c r="I13" s="85"/>
      <c r="J13" s="85">
        <f>H13+I13-14.164</f>
        <v>462.43600000000004</v>
      </c>
      <c r="N13" s="11">
        <f>J13</f>
        <v>462.43600000000004</v>
      </c>
      <c r="O13" s="1">
        <f t="shared" ref="O13:O76" si="2">N13*5.07/100</f>
        <v>23.445505200000003</v>
      </c>
    </row>
    <row r="14" spans="1:15" s="1" customFormat="1" ht="12.75" customHeight="1" x14ac:dyDescent="0.25">
      <c r="A14" s="129" t="s">
        <v>528</v>
      </c>
      <c r="B14" s="129"/>
      <c r="C14" s="3" t="s">
        <v>6</v>
      </c>
      <c r="D14" s="3" t="s">
        <v>8</v>
      </c>
      <c r="E14" s="3" t="s">
        <v>529</v>
      </c>
      <c r="F14" s="3"/>
      <c r="G14" s="85">
        <f>G15</f>
        <v>0.6</v>
      </c>
      <c r="H14" s="85">
        <f>H15</f>
        <v>0.6</v>
      </c>
      <c r="I14" s="85">
        <f>I15</f>
        <v>0</v>
      </c>
      <c r="J14" s="85">
        <f>J15</f>
        <v>0.6</v>
      </c>
      <c r="O14" s="1">
        <f t="shared" si="2"/>
        <v>0</v>
      </c>
    </row>
    <row r="15" spans="1:15" s="1" customFormat="1" ht="12.75" x14ac:dyDescent="0.25">
      <c r="A15" s="55"/>
      <c r="B15" s="84" t="s">
        <v>40</v>
      </c>
      <c r="C15" s="3" t="s">
        <v>6</v>
      </c>
      <c r="D15" s="3" t="s">
        <v>8</v>
      </c>
      <c r="E15" s="3" t="s">
        <v>529</v>
      </c>
      <c r="F15" s="3" t="s">
        <v>41</v>
      </c>
      <c r="G15" s="85">
        <f>[1]Свод!L70/1000</f>
        <v>0.6</v>
      </c>
      <c r="H15" s="85">
        <v>0.6</v>
      </c>
      <c r="I15" s="85"/>
      <c r="J15" s="85">
        <f>H15+I15</f>
        <v>0.6</v>
      </c>
      <c r="O15" s="1">
        <f t="shared" si="2"/>
        <v>0</v>
      </c>
    </row>
    <row r="16" spans="1:15" s="1" customFormat="1" ht="26.25" customHeight="1" x14ac:dyDescent="0.25">
      <c r="A16" s="129" t="s">
        <v>15</v>
      </c>
      <c r="B16" s="129"/>
      <c r="C16" s="3" t="s">
        <v>6</v>
      </c>
      <c r="D16" s="3" t="s">
        <v>8</v>
      </c>
      <c r="E16" s="3" t="s">
        <v>16</v>
      </c>
      <c r="F16" s="3"/>
      <c r="G16" s="85">
        <f>G17</f>
        <v>239.89879000000002</v>
      </c>
      <c r="H16" s="85">
        <f>H17</f>
        <v>239.9</v>
      </c>
      <c r="I16" s="85">
        <f>I17</f>
        <v>0</v>
      </c>
      <c r="J16" s="85">
        <f>J17</f>
        <v>237.23000000000002</v>
      </c>
      <c r="O16" s="1">
        <f t="shared" si="2"/>
        <v>0</v>
      </c>
    </row>
    <row r="17" spans="1:15" s="1" customFormat="1" ht="12.75" x14ac:dyDescent="0.25">
      <c r="A17" s="55"/>
      <c r="B17" s="84" t="s">
        <v>40</v>
      </c>
      <c r="C17" s="3" t="s">
        <v>6</v>
      </c>
      <c r="D17" s="3" t="s">
        <v>8</v>
      </c>
      <c r="E17" s="3" t="s">
        <v>16</v>
      </c>
      <c r="F17" s="3" t="s">
        <v>41</v>
      </c>
      <c r="G17" s="85">
        <f>[1]Свод!M70/1000</f>
        <v>239.89879000000002</v>
      </c>
      <c r="H17" s="85">
        <v>239.9</v>
      </c>
      <c r="I17" s="85"/>
      <c r="J17" s="85">
        <f>H17+I17-12.67+10</f>
        <v>237.23000000000002</v>
      </c>
      <c r="K17" s="1">
        <v>10</v>
      </c>
      <c r="N17" s="11">
        <f>J17+K17</f>
        <v>247.23000000000002</v>
      </c>
      <c r="O17" s="1">
        <f t="shared" si="2"/>
        <v>12.534561000000002</v>
      </c>
    </row>
    <row r="18" spans="1:15" s="6" customFormat="1" ht="41.25" customHeight="1" x14ac:dyDescent="0.25">
      <c r="A18" s="128" t="s">
        <v>17</v>
      </c>
      <c r="B18" s="128"/>
      <c r="C18" s="81" t="s">
        <v>6</v>
      </c>
      <c r="D18" s="81" t="s">
        <v>18</v>
      </c>
      <c r="E18" s="81"/>
      <c r="F18" s="81"/>
      <c r="G18" s="86">
        <f t="shared" ref="G18:J19" si="3">G19</f>
        <v>7465.2274199959602</v>
      </c>
      <c r="H18" s="86">
        <f t="shared" si="3"/>
        <v>7784.4</v>
      </c>
      <c r="I18" s="86">
        <f t="shared" si="3"/>
        <v>0</v>
      </c>
      <c r="J18" s="86">
        <f t="shared" si="3"/>
        <v>7373.2739999999994</v>
      </c>
      <c r="O18" s="1">
        <f t="shared" si="2"/>
        <v>0</v>
      </c>
    </row>
    <row r="19" spans="1:15" s="1" customFormat="1" ht="39.75" customHeight="1" x14ac:dyDescent="0.25">
      <c r="A19" s="129" t="s">
        <v>9</v>
      </c>
      <c r="B19" s="129"/>
      <c r="C19" s="3" t="s">
        <v>6</v>
      </c>
      <c r="D19" s="3" t="s">
        <v>18</v>
      </c>
      <c r="E19" s="3" t="s">
        <v>19</v>
      </c>
      <c r="F19" s="3"/>
      <c r="G19" s="85">
        <f t="shared" si="3"/>
        <v>7465.2274199959602</v>
      </c>
      <c r="H19" s="85">
        <f t="shared" si="3"/>
        <v>7784.4</v>
      </c>
      <c r="I19" s="85">
        <f t="shared" si="3"/>
        <v>0</v>
      </c>
      <c r="J19" s="85">
        <f t="shared" si="3"/>
        <v>7373.2739999999994</v>
      </c>
      <c r="O19" s="1">
        <f t="shared" si="2"/>
        <v>0</v>
      </c>
    </row>
    <row r="20" spans="1:15" s="1" customFormat="1" ht="14.25" customHeight="1" x14ac:dyDescent="0.25">
      <c r="A20" s="129" t="s">
        <v>11</v>
      </c>
      <c r="B20" s="129"/>
      <c r="C20" s="3" t="s">
        <v>6</v>
      </c>
      <c r="D20" s="3" t="s">
        <v>18</v>
      </c>
      <c r="E20" s="3" t="s">
        <v>12</v>
      </c>
      <c r="F20" s="3"/>
      <c r="G20" s="85">
        <f>G21+G27</f>
        <v>7465.2274199959602</v>
      </c>
      <c r="H20" s="85">
        <f>H21+H23+H25+H27</f>
        <v>7784.4</v>
      </c>
      <c r="I20" s="85">
        <f>I21+I23+I25+I27</f>
        <v>0</v>
      </c>
      <c r="J20" s="85">
        <f>J21+J23+J25+J27</f>
        <v>7373.2739999999994</v>
      </c>
      <c r="O20" s="1">
        <f t="shared" si="2"/>
        <v>0</v>
      </c>
    </row>
    <row r="21" spans="1:15" s="1" customFormat="1" ht="15.75" customHeight="1" x14ac:dyDescent="0.25">
      <c r="A21" s="129" t="s">
        <v>13</v>
      </c>
      <c r="B21" s="129"/>
      <c r="C21" s="3" t="s">
        <v>6</v>
      </c>
      <c r="D21" s="3" t="s">
        <v>18</v>
      </c>
      <c r="E21" s="3" t="s">
        <v>14</v>
      </c>
      <c r="F21" s="3"/>
      <c r="G21" s="85">
        <f>G22</f>
        <v>7286.2274199959602</v>
      </c>
      <c r="H21" s="85">
        <f>H22</f>
        <v>7580.4</v>
      </c>
      <c r="I21" s="85">
        <f>I22</f>
        <v>0</v>
      </c>
      <c r="J21" s="85">
        <f>J22</f>
        <v>7196.0739999999996</v>
      </c>
      <c r="O21" s="1">
        <f t="shared" si="2"/>
        <v>0</v>
      </c>
    </row>
    <row r="22" spans="1:15" s="1" customFormat="1" ht="12.75" x14ac:dyDescent="0.25">
      <c r="A22" s="55"/>
      <c r="B22" s="84" t="s">
        <v>40</v>
      </c>
      <c r="C22" s="3" t="s">
        <v>6</v>
      </c>
      <c r="D22" s="3" t="s">
        <v>18</v>
      </c>
      <c r="E22" s="3" t="s">
        <v>14</v>
      </c>
      <c r="F22" s="3" t="s">
        <v>41</v>
      </c>
      <c r="G22" s="85">
        <f>[1]Свод!K103/1000</f>
        <v>7286.2274199959602</v>
      </c>
      <c r="H22" s="85">
        <v>7580.4</v>
      </c>
      <c r="I22" s="85"/>
      <c r="J22" s="85">
        <f>H22+I22-384.326</f>
        <v>7196.0739999999996</v>
      </c>
      <c r="N22" s="11">
        <f>J22</f>
        <v>7196.0739999999996</v>
      </c>
      <c r="O22" s="1">
        <f t="shared" si="2"/>
        <v>364.84095179999997</v>
      </c>
    </row>
    <row r="23" spans="1:15" s="1" customFormat="1" ht="26.25" customHeight="1" x14ac:dyDescent="0.25">
      <c r="A23" s="129" t="s">
        <v>530</v>
      </c>
      <c r="B23" s="129"/>
      <c r="C23" s="3" t="s">
        <v>6</v>
      </c>
      <c r="D23" s="3" t="s">
        <v>18</v>
      </c>
      <c r="E23" s="3" t="s">
        <v>21</v>
      </c>
      <c r="F23" s="3"/>
      <c r="G23" s="85" t="e">
        <f>G24</f>
        <v>#REF!</v>
      </c>
      <c r="H23" s="85">
        <f>H24</f>
        <v>21.5</v>
      </c>
      <c r="I23" s="85">
        <f>I24</f>
        <v>0</v>
      </c>
      <c r="J23" s="85">
        <f>J24</f>
        <v>21.5</v>
      </c>
      <c r="O23" s="1">
        <f t="shared" si="2"/>
        <v>0</v>
      </c>
    </row>
    <row r="24" spans="1:15" s="1" customFormat="1" ht="12.75" x14ac:dyDescent="0.25">
      <c r="A24" s="55"/>
      <c r="B24" s="84" t="s">
        <v>40</v>
      </c>
      <c r="C24" s="3" t="s">
        <v>6</v>
      </c>
      <c r="D24" s="3" t="s">
        <v>18</v>
      </c>
      <c r="E24" s="3" t="s">
        <v>21</v>
      </c>
      <c r="F24" s="3" t="s">
        <v>41</v>
      </c>
      <c r="G24" s="85" t="e">
        <f>[1]Свод!K107/1000</f>
        <v>#REF!</v>
      </c>
      <c r="H24" s="85">
        <v>21.5</v>
      </c>
      <c r="I24" s="85"/>
      <c r="J24" s="85">
        <f>H24+I24</f>
        <v>21.5</v>
      </c>
      <c r="O24" s="1">
        <f t="shared" si="2"/>
        <v>0</v>
      </c>
    </row>
    <row r="25" spans="1:15" s="1" customFormat="1" ht="15" customHeight="1" x14ac:dyDescent="0.25">
      <c r="A25" s="129" t="s">
        <v>531</v>
      </c>
      <c r="B25" s="129"/>
      <c r="C25" s="3" t="s">
        <v>6</v>
      </c>
      <c r="D25" s="3" t="s">
        <v>18</v>
      </c>
      <c r="E25" s="3" t="s">
        <v>532</v>
      </c>
      <c r="F25" s="3"/>
      <c r="G25" s="85" t="e">
        <f>G26</f>
        <v>#REF!</v>
      </c>
      <c r="H25" s="85">
        <f>H26</f>
        <v>179</v>
      </c>
      <c r="I25" s="85">
        <f>I26</f>
        <v>0</v>
      </c>
      <c r="J25" s="85">
        <f>J26</f>
        <v>152.19999999999999</v>
      </c>
      <c r="O25" s="1">
        <f t="shared" si="2"/>
        <v>0</v>
      </c>
    </row>
    <row r="26" spans="1:15" s="1" customFormat="1" ht="16.5" customHeight="1" x14ac:dyDescent="0.25">
      <c r="A26" s="55"/>
      <c r="B26" s="84" t="s">
        <v>40</v>
      </c>
      <c r="C26" s="3" t="s">
        <v>6</v>
      </c>
      <c r="D26" s="3" t="s">
        <v>18</v>
      </c>
      <c r="E26" s="3" t="s">
        <v>532</v>
      </c>
      <c r="F26" s="3" t="s">
        <v>41</v>
      </c>
      <c r="G26" s="85" t="e">
        <f>[1]Свод!L107/1000</f>
        <v>#REF!</v>
      </c>
      <c r="H26" s="85">
        <v>179</v>
      </c>
      <c r="I26" s="85"/>
      <c r="J26" s="85">
        <f>H26+I26-26.8</f>
        <v>152.19999999999999</v>
      </c>
      <c r="K26" s="1">
        <v>-76.8</v>
      </c>
      <c r="O26" s="1">
        <f t="shared" si="2"/>
        <v>0</v>
      </c>
    </row>
    <row r="27" spans="1:15" s="1" customFormat="1" ht="27.75" customHeight="1" x14ac:dyDescent="0.25">
      <c r="A27" s="129" t="s">
        <v>533</v>
      </c>
      <c r="B27" s="129"/>
      <c r="C27" s="3" t="s">
        <v>6</v>
      </c>
      <c r="D27" s="3" t="s">
        <v>18</v>
      </c>
      <c r="E27" s="3" t="s">
        <v>534</v>
      </c>
      <c r="F27" s="3"/>
      <c r="G27" s="85">
        <f>G28</f>
        <v>179</v>
      </c>
      <c r="H27" s="85">
        <f>H28</f>
        <v>3.5</v>
      </c>
      <c r="I27" s="85">
        <f>I28</f>
        <v>0</v>
      </c>
      <c r="J27" s="85">
        <f>J28</f>
        <v>3.5</v>
      </c>
      <c r="O27" s="1">
        <f t="shared" si="2"/>
        <v>0</v>
      </c>
    </row>
    <row r="28" spans="1:15" s="1" customFormat="1" ht="16.5" customHeight="1" x14ac:dyDescent="0.25">
      <c r="A28" s="55"/>
      <c r="B28" s="84" t="s">
        <v>40</v>
      </c>
      <c r="C28" s="3" t="s">
        <v>6</v>
      </c>
      <c r="D28" s="3" t="s">
        <v>18</v>
      </c>
      <c r="E28" s="3" t="s">
        <v>534</v>
      </c>
      <c r="F28" s="3" t="s">
        <v>41</v>
      </c>
      <c r="G28" s="85">
        <f>[1]Свод!L103/1000</f>
        <v>179</v>
      </c>
      <c r="H28" s="85">
        <v>3.5</v>
      </c>
      <c r="I28" s="85"/>
      <c r="J28" s="85">
        <f>H28+I28</f>
        <v>3.5</v>
      </c>
      <c r="O28" s="1">
        <f t="shared" si="2"/>
        <v>0</v>
      </c>
    </row>
    <row r="29" spans="1:15" s="6" customFormat="1" ht="26.25" customHeight="1" x14ac:dyDescent="0.25">
      <c r="A29" s="128" t="s">
        <v>22</v>
      </c>
      <c r="B29" s="128"/>
      <c r="C29" s="81" t="s">
        <v>6</v>
      </c>
      <c r="D29" s="81" t="s">
        <v>23</v>
      </c>
      <c r="E29" s="81"/>
      <c r="F29" s="81"/>
      <c r="G29" s="86">
        <f t="shared" ref="G29:J30" si="4">G30</f>
        <v>2817.2681005899999</v>
      </c>
      <c r="H29" s="86">
        <f t="shared" si="4"/>
        <v>3005.3</v>
      </c>
      <c r="I29" s="86">
        <f t="shared" si="4"/>
        <v>0</v>
      </c>
      <c r="J29" s="86">
        <f t="shared" si="4"/>
        <v>2853.1240000000003</v>
      </c>
      <c r="O29" s="1">
        <f t="shared" si="2"/>
        <v>0</v>
      </c>
    </row>
    <row r="30" spans="1:15" s="1" customFormat="1" ht="41.25" customHeight="1" x14ac:dyDescent="0.25">
      <c r="A30" s="129" t="s">
        <v>9</v>
      </c>
      <c r="B30" s="129"/>
      <c r="C30" s="3" t="s">
        <v>6</v>
      </c>
      <c r="D30" s="3" t="s">
        <v>23</v>
      </c>
      <c r="E30" s="3" t="s">
        <v>19</v>
      </c>
      <c r="F30" s="3"/>
      <c r="G30" s="85">
        <f t="shared" si="4"/>
        <v>2817.2681005899999</v>
      </c>
      <c r="H30" s="85">
        <f t="shared" si="4"/>
        <v>3005.3</v>
      </c>
      <c r="I30" s="85">
        <f t="shared" si="4"/>
        <v>0</v>
      </c>
      <c r="J30" s="85">
        <f t="shared" si="4"/>
        <v>2853.1240000000003</v>
      </c>
      <c r="O30" s="1">
        <f t="shared" si="2"/>
        <v>0</v>
      </c>
    </row>
    <row r="31" spans="1:15" s="1" customFormat="1" ht="14.25" customHeight="1" x14ac:dyDescent="0.25">
      <c r="A31" s="129" t="s">
        <v>11</v>
      </c>
      <c r="B31" s="129"/>
      <c r="C31" s="3" t="s">
        <v>6</v>
      </c>
      <c r="D31" s="3" t="s">
        <v>23</v>
      </c>
      <c r="E31" s="3" t="s">
        <v>12</v>
      </c>
      <c r="F31" s="3"/>
      <c r="G31" s="85">
        <f>G32+G34</f>
        <v>2817.2681005899999</v>
      </c>
      <c r="H31" s="85">
        <f>H32+H34</f>
        <v>3005.3</v>
      </c>
      <c r="I31" s="85">
        <f>I32+I34</f>
        <v>0</v>
      </c>
      <c r="J31" s="85">
        <f>J32+J34</f>
        <v>2853.1240000000003</v>
      </c>
      <c r="O31" s="1">
        <f t="shared" si="2"/>
        <v>0</v>
      </c>
    </row>
    <row r="32" spans="1:15" s="1" customFormat="1" ht="16.5" customHeight="1" x14ac:dyDescent="0.25">
      <c r="A32" s="129" t="s">
        <v>24</v>
      </c>
      <c r="B32" s="129"/>
      <c r="C32" s="3" t="s">
        <v>6</v>
      </c>
      <c r="D32" s="3" t="s">
        <v>23</v>
      </c>
      <c r="E32" s="3" t="s">
        <v>25</v>
      </c>
      <c r="F32" s="3"/>
      <c r="G32" s="85">
        <f>G33</f>
        <v>2813.4681005899997</v>
      </c>
      <c r="H32" s="85">
        <f>H33</f>
        <v>3001.5</v>
      </c>
      <c r="I32" s="85">
        <f>I33</f>
        <v>0</v>
      </c>
      <c r="J32" s="85">
        <f>J33</f>
        <v>2849.3240000000001</v>
      </c>
      <c r="O32" s="1">
        <f t="shared" si="2"/>
        <v>0</v>
      </c>
    </row>
    <row r="33" spans="1:15" s="1" customFormat="1" ht="12.75" x14ac:dyDescent="0.25">
      <c r="A33" s="55"/>
      <c r="B33" s="84" t="s">
        <v>40</v>
      </c>
      <c r="C33" s="3" t="s">
        <v>6</v>
      </c>
      <c r="D33" s="3" t="s">
        <v>23</v>
      </c>
      <c r="E33" s="3" t="s">
        <v>25</v>
      </c>
      <c r="F33" s="3" t="s">
        <v>41</v>
      </c>
      <c r="G33" s="85">
        <f>[1]Свод!K333/1000</f>
        <v>2813.4681005899997</v>
      </c>
      <c r="H33" s="85">
        <v>3001.5</v>
      </c>
      <c r="I33" s="85"/>
      <c r="J33" s="85">
        <f>H33+I33-152.176</f>
        <v>2849.3240000000001</v>
      </c>
      <c r="N33" s="11">
        <f>J33</f>
        <v>2849.3240000000001</v>
      </c>
      <c r="O33" s="1">
        <f t="shared" si="2"/>
        <v>144.4607268</v>
      </c>
    </row>
    <row r="34" spans="1:15" s="1" customFormat="1" ht="15" customHeight="1" x14ac:dyDescent="0.25">
      <c r="A34" s="129" t="s">
        <v>107</v>
      </c>
      <c r="B34" s="129"/>
      <c r="C34" s="3" t="s">
        <v>6</v>
      </c>
      <c r="D34" s="3" t="s">
        <v>23</v>
      </c>
      <c r="E34" s="3" t="s">
        <v>532</v>
      </c>
      <c r="F34" s="3"/>
      <c r="G34" s="85">
        <f>G35</f>
        <v>3.8</v>
      </c>
      <c r="H34" s="85">
        <f>H35</f>
        <v>3.8</v>
      </c>
      <c r="I34" s="85">
        <f>I35</f>
        <v>0</v>
      </c>
      <c r="J34" s="85">
        <f>J35</f>
        <v>3.8</v>
      </c>
      <c r="O34" s="1">
        <f t="shared" si="2"/>
        <v>0</v>
      </c>
    </row>
    <row r="35" spans="1:15" s="1" customFormat="1" ht="18" customHeight="1" x14ac:dyDescent="0.25">
      <c r="A35" s="55"/>
      <c r="B35" s="84" t="s">
        <v>40</v>
      </c>
      <c r="C35" s="3" t="s">
        <v>6</v>
      </c>
      <c r="D35" s="3" t="s">
        <v>23</v>
      </c>
      <c r="E35" s="3" t="s">
        <v>532</v>
      </c>
      <c r="F35" s="3" t="s">
        <v>41</v>
      </c>
      <c r="G35" s="85">
        <f>[1]Свод!M333/1000</f>
        <v>3.8</v>
      </c>
      <c r="H35" s="85">
        <v>3.8</v>
      </c>
      <c r="I35" s="85"/>
      <c r="J35" s="85">
        <f>H35+I35</f>
        <v>3.8</v>
      </c>
      <c r="O35" s="1">
        <f t="shared" si="2"/>
        <v>0</v>
      </c>
    </row>
    <row r="36" spans="1:15" s="6" customFormat="1" ht="15.75" customHeight="1" x14ac:dyDescent="0.25">
      <c r="A36" s="128" t="s">
        <v>26</v>
      </c>
      <c r="B36" s="128"/>
      <c r="C36" s="81" t="s">
        <v>6</v>
      </c>
      <c r="D36" s="81" t="s">
        <v>27</v>
      </c>
      <c r="E36" s="81"/>
      <c r="F36" s="81"/>
      <c r="G36" s="86">
        <f>G37</f>
        <v>400</v>
      </c>
      <c r="H36" s="86">
        <f>H37</f>
        <v>94</v>
      </c>
      <c r="I36" s="86">
        <f>I37</f>
        <v>-29.5</v>
      </c>
      <c r="J36" s="86">
        <f>J37</f>
        <v>0</v>
      </c>
      <c r="O36" s="1">
        <f t="shared" si="2"/>
        <v>0</v>
      </c>
    </row>
    <row r="37" spans="1:15" s="1" customFormat="1" ht="15.75" customHeight="1" x14ac:dyDescent="0.25">
      <c r="A37" s="129" t="s">
        <v>26</v>
      </c>
      <c r="B37" s="129"/>
      <c r="C37" s="3" t="s">
        <v>6</v>
      </c>
      <c r="D37" s="3" t="s">
        <v>27</v>
      </c>
      <c r="E37" s="3" t="s">
        <v>28</v>
      </c>
      <c r="F37" s="3"/>
      <c r="G37" s="85">
        <f>G38+G40</f>
        <v>400</v>
      </c>
      <c r="H37" s="85">
        <f>H38+H40</f>
        <v>94</v>
      </c>
      <c r="I37" s="85">
        <f>I38+I40</f>
        <v>-29.5</v>
      </c>
      <c r="J37" s="85">
        <f>J38+J40</f>
        <v>0</v>
      </c>
      <c r="O37" s="1">
        <f t="shared" si="2"/>
        <v>0</v>
      </c>
    </row>
    <row r="38" spans="1:15" s="1" customFormat="1" ht="15.75" customHeight="1" x14ac:dyDescent="0.25">
      <c r="A38" s="129" t="s">
        <v>29</v>
      </c>
      <c r="B38" s="129"/>
      <c r="C38" s="3" t="s">
        <v>6</v>
      </c>
      <c r="D38" s="3" t="s">
        <v>27</v>
      </c>
      <c r="E38" s="3" t="s">
        <v>30</v>
      </c>
      <c r="F38" s="3"/>
      <c r="G38" s="85">
        <f>G39</f>
        <v>100</v>
      </c>
      <c r="H38" s="85">
        <f>H39</f>
        <v>94</v>
      </c>
      <c r="I38" s="85">
        <f>I39</f>
        <v>-29.5</v>
      </c>
      <c r="J38" s="85">
        <f>J39</f>
        <v>0</v>
      </c>
      <c r="O38" s="1">
        <f t="shared" si="2"/>
        <v>0</v>
      </c>
    </row>
    <row r="39" spans="1:15" s="1" customFormat="1" ht="15.75" customHeight="1" x14ac:dyDescent="0.25">
      <c r="A39" s="55"/>
      <c r="B39" s="59" t="s">
        <v>31</v>
      </c>
      <c r="C39" s="3" t="s">
        <v>6</v>
      </c>
      <c r="D39" s="3" t="s">
        <v>27</v>
      </c>
      <c r="E39" s="3" t="s">
        <v>30</v>
      </c>
      <c r="F39" s="3" t="s">
        <v>32</v>
      </c>
      <c r="G39" s="85">
        <f>[1]Свод!K197/1000</f>
        <v>100</v>
      </c>
      <c r="H39" s="85">
        <v>94</v>
      </c>
      <c r="I39" s="85">
        <v>-29.5</v>
      </c>
      <c r="J39" s="85">
        <v>0</v>
      </c>
      <c r="O39" s="1">
        <v>64.5</v>
      </c>
    </row>
    <row r="40" spans="1:15" s="1" customFormat="1" ht="15.75" hidden="1" customHeight="1" x14ac:dyDescent="0.25">
      <c r="A40" s="129" t="s">
        <v>535</v>
      </c>
      <c r="B40" s="129"/>
      <c r="C40" s="3" t="s">
        <v>6</v>
      </c>
      <c r="D40" s="3" t="s">
        <v>27</v>
      </c>
      <c r="E40" s="3" t="s">
        <v>536</v>
      </c>
      <c r="F40" s="3"/>
      <c r="G40" s="85">
        <f>G41</f>
        <v>300</v>
      </c>
      <c r="H40" s="85">
        <f>H41</f>
        <v>0</v>
      </c>
      <c r="I40" s="85">
        <f>I41</f>
        <v>0</v>
      </c>
      <c r="J40" s="85">
        <f>J41</f>
        <v>0</v>
      </c>
      <c r="O40" s="1">
        <f t="shared" si="2"/>
        <v>0</v>
      </c>
    </row>
    <row r="41" spans="1:15" s="1" customFormat="1" ht="15.75" hidden="1" customHeight="1" x14ac:dyDescent="0.25">
      <c r="A41" s="55"/>
      <c r="B41" s="59" t="s">
        <v>31</v>
      </c>
      <c r="C41" s="3" t="s">
        <v>6</v>
      </c>
      <c r="D41" s="3" t="s">
        <v>27</v>
      </c>
      <c r="E41" s="3" t="s">
        <v>536</v>
      </c>
      <c r="F41" s="3" t="s">
        <v>32</v>
      </c>
      <c r="G41" s="85">
        <f>[1]Свод!L197/1000</f>
        <v>300</v>
      </c>
      <c r="H41" s="85">
        <v>0</v>
      </c>
      <c r="I41" s="85">
        <v>0</v>
      </c>
      <c r="J41" s="85">
        <f>H41+I41</f>
        <v>0</v>
      </c>
      <c r="O41" s="1">
        <f t="shared" si="2"/>
        <v>0</v>
      </c>
    </row>
    <row r="42" spans="1:15" s="6" customFormat="1" ht="15.75" customHeight="1" x14ac:dyDescent="0.25">
      <c r="A42" s="128" t="s">
        <v>33</v>
      </c>
      <c r="B42" s="128"/>
      <c r="C42" s="81" t="s">
        <v>6</v>
      </c>
      <c r="D42" s="81" t="s">
        <v>34</v>
      </c>
      <c r="E42" s="81"/>
      <c r="F42" s="81"/>
      <c r="G42" s="86" t="e">
        <f>G43+G49+G56+#REF!</f>
        <v>#REF!</v>
      </c>
      <c r="H42" s="86">
        <f>H43+H46+H49+H53+H56</f>
        <v>1575.0439999999999</v>
      </c>
      <c r="I42" s="86">
        <f>I43+I46+I49+I53+I56</f>
        <v>0</v>
      </c>
      <c r="J42" s="86">
        <f>J43+J46+J49+J53+J56</f>
        <v>1587.569</v>
      </c>
      <c r="O42" s="1">
        <f t="shared" si="2"/>
        <v>0</v>
      </c>
    </row>
    <row r="43" spans="1:15" s="1" customFormat="1" ht="26.25" customHeight="1" x14ac:dyDescent="0.25">
      <c r="A43" s="129" t="s">
        <v>35</v>
      </c>
      <c r="B43" s="129"/>
      <c r="C43" s="3" t="s">
        <v>6</v>
      </c>
      <c r="D43" s="3" t="s">
        <v>34</v>
      </c>
      <c r="E43" s="3" t="s">
        <v>36</v>
      </c>
      <c r="F43" s="3"/>
      <c r="G43" s="85">
        <f t="shared" ref="G43:J44" si="5">G44</f>
        <v>100</v>
      </c>
      <c r="H43" s="85">
        <f t="shared" si="5"/>
        <v>145.46600000000001</v>
      </c>
      <c r="I43" s="85">
        <f t="shared" si="5"/>
        <v>0</v>
      </c>
      <c r="J43" s="85">
        <f t="shared" si="5"/>
        <v>210.46600000000001</v>
      </c>
      <c r="O43" s="1">
        <f t="shared" si="2"/>
        <v>0</v>
      </c>
    </row>
    <row r="44" spans="1:15" s="1" customFormat="1" ht="26.25" customHeight="1" x14ac:dyDescent="0.25">
      <c r="A44" s="129" t="s">
        <v>37</v>
      </c>
      <c r="B44" s="129"/>
      <c r="C44" s="3" t="s">
        <v>38</v>
      </c>
      <c r="D44" s="3" t="s">
        <v>34</v>
      </c>
      <c r="E44" s="3" t="s">
        <v>39</v>
      </c>
      <c r="F44" s="3"/>
      <c r="G44" s="85">
        <f t="shared" si="5"/>
        <v>100</v>
      </c>
      <c r="H44" s="85">
        <f t="shared" si="5"/>
        <v>145.46600000000001</v>
      </c>
      <c r="I44" s="85">
        <f t="shared" si="5"/>
        <v>0</v>
      </c>
      <c r="J44" s="85">
        <f t="shared" si="5"/>
        <v>210.46600000000001</v>
      </c>
      <c r="O44" s="1">
        <f t="shared" si="2"/>
        <v>0</v>
      </c>
    </row>
    <row r="45" spans="1:15" s="1" customFormat="1" ht="15" customHeight="1" x14ac:dyDescent="0.25">
      <c r="A45" s="84"/>
      <c r="B45" s="84" t="s">
        <v>40</v>
      </c>
      <c r="C45" s="3" t="s">
        <v>6</v>
      </c>
      <c r="D45" s="3" t="s">
        <v>34</v>
      </c>
      <c r="E45" s="3" t="s">
        <v>39</v>
      </c>
      <c r="F45" s="3" t="s">
        <v>41</v>
      </c>
      <c r="G45" s="85">
        <f>[1]Свод!J202/1000</f>
        <v>100</v>
      </c>
      <c r="H45" s="85">
        <v>145.46600000000001</v>
      </c>
      <c r="I45" s="85"/>
      <c r="J45" s="85">
        <f>H45+I45+65</f>
        <v>210.46600000000001</v>
      </c>
      <c r="O45" s="1">
        <f t="shared" si="2"/>
        <v>0</v>
      </c>
    </row>
    <row r="46" spans="1:15" s="1" customFormat="1" ht="14.25" customHeight="1" x14ac:dyDescent="0.25">
      <c r="A46" s="129" t="s">
        <v>537</v>
      </c>
      <c r="B46" s="129"/>
      <c r="C46" s="3" t="s">
        <v>6</v>
      </c>
      <c r="D46" s="3" t="s">
        <v>34</v>
      </c>
      <c r="E46" s="3" t="s">
        <v>54</v>
      </c>
      <c r="F46" s="87"/>
      <c r="G46" s="85">
        <f t="shared" ref="G46:J47" si="6">G47</f>
        <v>59.5</v>
      </c>
      <c r="H46" s="85">
        <f>H47</f>
        <v>159.578</v>
      </c>
      <c r="I46" s="85">
        <f>I47</f>
        <v>0</v>
      </c>
      <c r="J46" s="85">
        <f>J47</f>
        <v>159.578</v>
      </c>
      <c r="O46" s="1">
        <f t="shared" si="2"/>
        <v>0</v>
      </c>
    </row>
    <row r="47" spans="1:15" s="1" customFormat="1" ht="15.75" customHeight="1" x14ac:dyDescent="0.25">
      <c r="A47" s="129" t="s">
        <v>538</v>
      </c>
      <c r="B47" s="129"/>
      <c r="C47" s="3" t="s">
        <v>6</v>
      </c>
      <c r="D47" s="3" t="s">
        <v>34</v>
      </c>
      <c r="E47" s="3" t="s">
        <v>539</v>
      </c>
      <c r="F47" s="78"/>
      <c r="G47" s="85">
        <f t="shared" si="6"/>
        <v>59.5</v>
      </c>
      <c r="H47" s="85">
        <f>H48</f>
        <v>159.578</v>
      </c>
      <c r="I47" s="85">
        <f t="shared" si="6"/>
        <v>0</v>
      </c>
      <c r="J47" s="85">
        <f t="shared" si="6"/>
        <v>159.578</v>
      </c>
      <c r="O47" s="1">
        <f t="shared" si="2"/>
        <v>0</v>
      </c>
    </row>
    <row r="48" spans="1:15" s="1" customFormat="1" ht="17.25" customHeight="1" x14ac:dyDescent="0.25">
      <c r="A48" s="55"/>
      <c r="B48" s="84" t="s">
        <v>40</v>
      </c>
      <c r="C48" s="3" t="s">
        <v>6</v>
      </c>
      <c r="D48" s="3" t="s">
        <v>34</v>
      </c>
      <c r="E48" s="3" t="s">
        <v>539</v>
      </c>
      <c r="F48" s="3" t="s">
        <v>41</v>
      </c>
      <c r="G48" s="85">
        <v>59.5</v>
      </c>
      <c r="H48" s="85">
        <v>159.578</v>
      </c>
      <c r="I48" s="85"/>
      <c r="J48" s="85">
        <f>H48+I48</f>
        <v>159.578</v>
      </c>
      <c r="O48" s="1">
        <f t="shared" si="2"/>
        <v>0</v>
      </c>
    </row>
    <row r="49" spans="1:15" s="1" customFormat="1" ht="18" customHeight="1" x14ac:dyDescent="0.25">
      <c r="A49" s="129" t="s">
        <v>275</v>
      </c>
      <c r="B49" s="129"/>
      <c r="C49" s="3" t="s">
        <v>6</v>
      </c>
      <c r="D49" s="3" t="s">
        <v>34</v>
      </c>
      <c r="E49" s="3" t="s">
        <v>540</v>
      </c>
      <c r="F49" s="78"/>
      <c r="G49" s="85">
        <f t="shared" ref="G49:J51" si="7">G50</f>
        <v>234.99999824000002</v>
      </c>
      <c r="H49" s="85">
        <f t="shared" si="7"/>
        <v>235</v>
      </c>
      <c r="I49" s="85">
        <f t="shared" si="7"/>
        <v>0</v>
      </c>
      <c r="J49" s="85">
        <f t="shared" si="7"/>
        <v>235</v>
      </c>
      <c r="O49" s="1">
        <f t="shared" si="2"/>
        <v>0</v>
      </c>
    </row>
    <row r="50" spans="1:15" s="1" customFormat="1" ht="52.5" customHeight="1" x14ac:dyDescent="0.25">
      <c r="A50" s="129" t="s">
        <v>541</v>
      </c>
      <c r="B50" s="129"/>
      <c r="C50" s="88" t="s">
        <v>6</v>
      </c>
      <c r="D50" s="88" t="s">
        <v>34</v>
      </c>
      <c r="E50" s="3" t="s">
        <v>542</v>
      </c>
      <c r="F50" s="89"/>
      <c r="G50" s="85">
        <f t="shared" si="7"/>
        <v>234.99999824000002</v>
      </c>
      <c r="H50" s="85">
        <f t="shared" si="7"/>
        <v>235</v>
      </c>
      <c r="I50" s="85">
        <f t="shared" si="7"/>
        <v>0</v>
      </c>
      <c r="J50" s="85">
        <f t="shared" si="7"/>
        <v>235</v>
      </c>
      <c r="O50" s="1">
        <f t="shared" si="2"/>
        <v>0</v>
      </c>
    </row>
    <row r="51" spans="1:15" s="1" customFormat="1" ht="16.5" customHeight="1" x14ac:dyDescent="0.25">
      <c r="A51" s="129" t="s">
        <v>543</v>
      </c>
      <c r="B51" s="129"/>
      <c r="C51" s="88" t="s">
        <v>6</v>
      </c>
      <c r="D51" s="88" t="s">
        <v>34</v>
      </c>
      <c r="E51" s="3" t="s">
        <v>544</v>
      </c>
      <c r="F51" s="88"/>
      <c r="G51" s="85">
        <f t="shared" si="7"/>
        <v>234.99999824000002</v>
      </c>
      <c r="H51" s="85">
        <f t="shared" si="7"/>
        <v>235</v>
      </c>
      <c r="I51" s="85">
        <f t="shared" si="7"/>
        <v>0</v>
      </c>
      <c r="J51" s="85">
        <f t="shared" si="7"/>
        <v>235</v>
      </c>
      <c r="O51" s="1">
        <f t="shared" si="2"/>
        <v>0</v>
      </c>
    </row>
    <row r="52" spans="1:15" s="1" customFormat="1" ht="15" customHeight="1" x14ac:dyDescent="0.25">
      <c r="A52" s="55"/>
      <c r="B52" s="84" t="s">
        <v>40</v>
      </c>
      <c r="C52" s="3" t="s">
        <v>6</v>
      </c>
      <c r="D52" s="3" t="s">
        <v>34</v>
      </c>
      <c r="E52" s="3" t="s">
        <v>544</v>
      </c>
      <c r="F52" s="3" t="s">
        <v>41</v>
      </c>
      <c r="G52" s="85">
        <f>[1]Свод!L136/1000</f>
        <v>234.99999824000002</v>
      </c>
      <c r="H52" s="85">
        <v>235</v>
      </c>
      <c r="I52" s="85"/>
      <c r="J52" s="85">
        <f>H52+I52</f>
        <v>235</v>
      </c>
      <c r="O52" s="1">
        <f t="shared" si="2"/>
        <v>0</v>
      </c>
    </row>
    <row r="53" spans="1:15" s="1" customFormat="1" ht="15" customHeight="1" x14ac:dyDescent="0.25">
      <c r="A53" s="129" t="s">
        <v>45</v>
      </c>
      <c r="B53" s="129"/>
      <c r="C53" s="3" t="s">
        <v>6</v>
      </c>
      <c r="D53" s="3" t="s">
        <v>34</v>
      </c>
      <c r="E53" s="3" t="s">
        <v>47</v>
      </c>
      <c r="F53" s="3"/>
      <c r="G53" s="85">
        <f t="shared" ref="G53:J54" si="8">G54</f>
        <v>0</v>
      </c>
      <c r="H53" s="85">
        <f t="shared" si="8"/>
        <v>745</v>
      </c>
      <c r="I53" s="85">
        <f t="shared" si="8"/>
        <v>0</v>
      </c>
      <c r="J53" s="85">
        <f t="shared" si="8"/>
        <v>707.22799999999995</v>
      </c>
      <c r="O53" s="1">
        <f t="shared" si="2"/>
        <v>0</v>
      </c>
    </row>
    <row r="54" spans="1:15" s="9" customFormat="1" ht="25.5" customHeight="1" x14ac:dyDescent="0.25">
      <c r="A54" s="84"/>
      <c r="B54" s="59" t="s">
        <v>48</v>
      </c>
      <c r="C54" s="3" t="s">
        <v>6</v>
      </c>
      <c r="D54" s="3" t="s">
        <v>34</v>
      </c>
      <c r="E54" s="3" t="s">
        <v>49</v>
      </c>
      <c r="F54" s="3"/>
      <c r="G54" s="85">
        <f t="shared" si="8"/>
        <v>0</v>
      </c>
      <c r="H54" s="85">
        <f t="shared" si="8"/>
        <v>745</v>
      </c>
      <c r="I54" s="85">
        <f t="shared" si="8"/>
        <v>0</v>
      </c>
      <c r="J54" s="85">
        <f t="shared" si="8"/>
        <v>707.22799999999995</v>
      </c>
      <c r="O54" s="1">
        <f t="shared" si="2"/>
        <v>0</v>
      </c>
    </row>
    <row r="55" spans="1:15" s="1" customFormat="1" ht="15.75" customHeight="1" x14ac:dyDescent="0.25">
      <c r="A55" s="55"/>
      <c r="B55" s="59" t="s">
        <v>31</v>
      </c>
      <c r="C55" s="3" t="s">
        <v>6</v>
      </c>
      <c r="D55" s="3" t="s">
        <v>34</v>
      </c>
      <c r="E55" s="3" t="s">
        <v>49</v>
      </c>
      <c r="F55" s="3" t="s">
        <v>32</v>
      </c>
      <c r="G55" s="85">
        <f>[1]Свод!J292/1000</f>
        <v>0</v>
      </c>
      <c r="H55" s="85">
        <v>745</v>
      </c>
      <c r="I55" s="85"/>
      <c r="J55" s="85">
        <f>H55+I55-37.772</f>
        <v>707.22799999999995</v>
      </c>
      <c r="N55" s="11">
        <f>J55</f>
        <v>707.22799999999995</v>
      </c>
      <c r="O55" s="1">
        <f t="shared" si="2"/>
        <v>35.856459600000001</v>
      </c>
    </row>
    <row r="56" spans="1:15" s="9" customFormat="1" ht="15.75" customHeight="1" x14ac:dyDescent="0.25">
      <c r="A56" s="129" t="s">
        <v>545</v>
      </c>
      <c r="B56" s="129"/>
      <c r="C56" s="3" t="s">
        <v>6</v>
      </c>
      <c r="D56" s="3" t="s">
        <v>34</v>
      </c>
      <c r="E56" s="3" t="s">
        <v>244</v>
      </c>
      <c r="F56" s="3"/>
      <c r="G56" s="85">
        <f t="shared" ref="G56:J57" si="9">G57</f>
        <v>290</v>
      </c>
      <c r="H56" s="85">
        <f t="shared" si="9"/>
        <v>290</v>
      </c>
      <c r="I56" s="85">
        <f t="shared" si="9"/>
        <v>0</v>
      </c>
      <c r="J56" s="85">
        <f t="shared" si="9"/>
        <v>275.29700000000003</v>
      </c>
      <c r="O56" s="1">
        <f t="shared" si="2"/>
        <v>0</v>
      </c>
    </row>
    <row r="57" spans="1:15" s="9" customFormat="1" ht="54" customHeight="1" x14ac:dyDescent="0.25">
      <c r="A57" s="84"/>
      <c r="B57" s="59" t="s">
        <v>546</v>
      </c>
      <c r="C57" s="3" t="s">
        <v>6</v>
      </c>
      <c r="D57" s="3" t="s">
        <v>34</v>
      </c>
      <c r="E57" s="3" t="s">
        <v>547</v>
      </c>
      <c r="F57" s="3"/>
      <c r="G57" s="85">
        <f t="shared" si="9"/>
        <v>290</v>
      </c>
      <c r="H57" s="85">
        <f t="shared" si="9"/>
        <v>290</v>
      </c>
      <c r="I57" s="85">
        <f t="shared" si="9"/>
        <v>0</v>
      </c>
      <c r="J57" s="85">
        <f t="shared" si="9"/>
        <v>275.29700000000003</v>
      </c>
      <c r="O57" s="1">
        <f t="shared" si="2"/>
        <v>0</v>
      </c>
    </row>
    <row r="58" spans="1:15" s="1" customFormat="1" ht="15.75" customHeight="1" x14ac:dyDescent="0.25">
      <c r="A58" s="55"/>
      <c r="B58" s="59" t="s">
        <v>31</v>
      </c>
      <c r="C58" s="3" t="s">
        <v>6</v>
      </c>
      <c r="D58" s="3" t="s">
        <v>34</v>
      </c>
      <c r="E58" s="3" t="s">
        <v>547</v>
      </c>
      <c r="F58" s="3" t="s">
        <v>32</v>
      </c>
      <c r="G58" s="85">
        <f>[1]Свод!J266/1000</f>
        <v>290</v>
      </c>
      <c r="H58" s="85">
        <v>290</v>
      </c>
      <c r="I58" s="85"/>
      <c r="J58" s="85">
        <f>H58+I58-14.703</f>
        <v>275.29700000000003</v>
      </c>
      <c r="N58" s="11">
        <f>J58</f>
        <v>275.29700000000003</v>
      </c>
      <c r="O58" s="1">
        <f t="shared" si="2"/>
        <v>13.957557900000001</v>
      </c>
    </row>
    <row r="59" spans="1:15" s="4" customFormat="1" ht="15.75" customHeight="1" x14ac:dyDescent="0.25">
      <c r="A59" s="132" t="s">
        <v>50</v>
      </c>
      <c r="B59" s="132"/>
      <c r="C59" s="79" t="s">
        <v>51</v>
      </c>
      <c r="D59" s="79"/>
      <c r="E59" s="79"/>
      <c r="F59" s="79"/>
      <c r="G59" s="80">
        <f t="shared" ref="G59:J62" si="10">G60</f>
        <v>297.89999999999998</v>
      </c>
      <c r="H59" s="80">
        <f t="shared" si="10"/>
        <v>297.89999999999998</v>
      </c>
      <c r="I59" s="80">
        <f t="shared" si="10"/>
        <v>4.5</v>
      </c>
      <c r="J59" s="80">
        <f t="shared" si="10"/>
        <v>302.39999999999998</v>
      </c>
      <c r="O59" s="1">
        <f t="shared" si="2"/>
        <v>0</v>
      </c>
    </row>
    <row r="60" spans="1:15" s="39" customFormat="1" ht="15.75" customHeight="1" x14ac:dyDescent="0.25">
      <c r="A60" s="133" t="s">
        <v>52</v>
      </c>
      <c r="B60" s="133"/>
      <c r="C60" s="81" t="s">
        <v>51</v>
      </c>
      <c r="D60" s="81" t="s">
        <v>8</v>
      </c>
      <c r="E60" s="81"/>
      <c r="F60" s="81"/>
      <c r="G60" s="86">
        <f t="shared" si="10"/>
        <v>297.89999999999998</v>
      </c>
      <c r="H60" s="86">
        <f t="shared" si="10"/>
        <v>297.89999999999998</v>
      </c>
      <c r="I60" s="86">
        <f t="shared" si="10"/>
        <v>4.5</v>
      </c>
      <c r="J60" s="86">
        <f t="shared" si="10"/>
        <v>302.39999999999998</v>
      </c>
      <c r="O60" s="1">
        <f t="shared" si="2"/>
        <v>0</v>
      </c>
    </row>
    <row r="61" spans="1:15" s="9" customFormat="1" ht="15.75" customHeight="1" x14ac:dyDescent="0.25">
      <c r="A61" s="129" t="s">
        <v>53</v>
      </c>
      <c r="B61" s="129"/>
      <c r="C61" s="3" t="s">
        <v>51</v>
      </c>
      <c r="D61" s="3" t="s">
        <v>8</v>
      </c>
      <c r="E61" s="3" t="s">
        <v>54</v>
      </c>
      <c r="F61" s="3"/>
      <c r="G61" s="85">
        <f t="shared" si="10"/>
        <v>297.89999999999998</v>
      </c>
      <c r="H61" s="85">
        <f t="shared" si="10"/>
        <v>297.89999999999998</v>
      </c>
      <c r="I61" s="85">
        <f t="shared" si="10"/>
        <v>4.5</v>
      </c>
      <c r="J61" s="85">
        <f t="shared" si="10"/>
        <v>302.39999999999998</v>
      </c>
      <c r="O61" s="1">
        <f t="shared" si="2"/>
        <v>0</v>
      </c>
    </row>
    <row r="62" spans="1:15" s="1" customFormat="1" ht="28.5" customHeight="1" x14ac:dyDescent="0.25">
      <c r="A62" s="129" t="s">
        <v>55</v>
      </c>
      <c r="B62" s="129"/>
      <c r="C62" s="3" t="s">
        <v>51</v>
      </c>
      <c r="D62" s="3" t="s">
        <v>8</v>
      </c>
      <c r="E62" s="3" t="s">
        <v>56</v>
      </c>
      <c r="F62" s="3"/>
      <c r="G62" s="83">
        <f t="shared" si="10"/>
        <v>297.89999999999998</v>
      </c>
      <c r="H62" s="83">
        <f t="shared" si="10"/>
        <v>297.89999999999998</v>
      </c>
      <c r="I62" s="83">
        <f t="shared" si="10"/>
        <v>4.5</v>
      </c>
      <c r="J62" s="83">
        <f t="shared" si="10"/>
        <v>302.39999999999998</v>
      </c>
      <c r="O62" s="1">
        <f t="shared" si="2"/>
        <v>0</v>
      </c>
    </row>
    <row r="63" spans="1:15" s="1" customFormat="1" ht="42" customHeight="1" x14ac:dyDescent="0.25">
      <c r="A63" s="134" t="s">
        <v>548</v>
      </c>
      <c r="B63" s="134"/>
      <c r="C63" s="3" t="s">
        <v>51</v>
      </c>
      <c r="D63" s="3" t="s">
        <v>8</v>
      </c>
      <c r="E63" s="3" t="s">
        <v>57</v>
      </c>
      <c r="F63" s="3"/>
      <c r="G63" s="83">
        <f>G65</f>
        <v>297.89999999999998</v>
      </c>
      <c r="H63" s="83">
        <f>H65+H64</f>
        <v>297.89999999999998</v>
      </c>
      <c r="I63" s="83">
        <f>I65+I64</f>
        <v>4.5</v>
      </c>
      <c r="J63" s="83">
        <f>J65+J64</f>
        <v>302.39999999999998</v>
      </c>
      <c r="O63" s="1">
        <f t="shared" si="2"/>
        <v>0</v>
      </c>
    </row>
    <row r="64" spans="1:15" s="1" customFormat="1" ht="15.75" customHeight="1" x14ac:dyDescent="0.25">
      <c r="A64" s="59"/>
      <c r="B64" s="59" t="s">
        <v>549</v>
      </c>
      <c r="C64" s="3" t="s">
        <v>51</v>
      </c>
      <c r="D64" s="3" t="s">
        <v>8</v>
      </c>
      <c r="E64" s="3" t="s">
        <v>58</v>
      </c>
      <c r="F64" s="3" t="s">
        <v>550</v>
      </c>
      <c r="G64" s="83"/>
      <c r="H64" s="83">
        <v>297.89999999999998</v>
      </c>
      <c r="I64" s="83">
        <v>4.5</v>
      </c>
      <c r="J64" s="85">
        <f>H64+I64</f>
        <v>302.39999999999998</v>
      </c>
      <c r="O64" s="1">
        <f t="shared" si="2"/>
        <v>0</v>
      </c>
    </row>
    <row r="65" spans="1:15" s="1" customFormat="1" ht="15.75" hidden="1" customHeight="1" x14ac:dyDescent="0.25">
      <c r="A65" s="59"/>
      <c r="B65" s="84" t="s">
        <v>40</v>
      </c>
      <c r="C65" s="3" t="s">
        <v>51</v>
      </c>
      <c r="D65" s="3" t="s">
        <v>8</v>
      </c>
      <c r="E65" s="3" t="s">
        <v>58</v>
      </c>
      <c r="F65" s="3" t="s">
        <v>41</v>
      </c>
      <c r="G65" s="85">
        <f>[1]Свод!M1641/1000</f>
        <v>297.89999999999998</v>
      </c>
      <c r="H65" s="85">
        <v>0</v>
      </c>
      <c r="I65" s="85"/>
      <c r="J65" s="85">
        <f>H65+I65</f>
        <v>0</v>
      </c>
      <c r="O65" s="1">
        <f t="shared" si="2"/>
        <v>0</v>
      </c>
    </row>
    <row r="66" spans="1:15" s="4" customFormat="1" ht="15.75" customHeight="1" x14ac:dyDescent="0.25">
      <c r="A66" s="132" t="s">
        <v>59</v>
      </c>
      <c r="B66" s="132"/>
      <c r="C66" s="79" t="s">
        <v>8</v>
      </c>
      <c r="D66" s="79"/>
      <c r="E66" s="79"/>
      <c r="F66" s="79"/>
      <c r="G66" s="80">
        <f>G67+G71</f>
        <v>424.04942294080001</v>
      </c>
      <c r="H66" s="80">
        <f>H67+H71</f>
        <v>496.8</v>
      </c>
      <c r="I66" s="80">
        <f>I67+I71</f>
        <v>0</v>
      </c>
      <c r="J66" s="80">
        <f>J67+J71</f>
        <v>448.51300000000003</v>
      </c>
      <c r="O66" s="1">
        <f t="shared" si="2"/>
        <v>0</v>
      </c>
    </row>
    <row r="67" spans="1:15" s="39" customFormat="1" ht="15.75" customHeight="1" x14ac:dyDescent="0.25">
      <c r="A67" s="133" t="s">
        <v>60</v>
      </c>
      <c r="B67" s="133"/>
      <c r="C67" s="81" t="s">
        <v>8</v>
      </c>
      <c r="D67" s="81" t="s">
        <v>51</v>
      </c>
      <c r="E67" s="81"/>
      <c r="F67" s="81"/>
      <c r="G67" s="86">
        <f t="shared" ref="G67:J69" si="11">G68</f>
        <v>10</v>
      </c>
      <c r="H67" s="86">
        <f t="shared" si="11"/>
        <v>10</v>
      </c>
      <c r="I67" s="86">
        <f t="shared" si="11"/>
        <v>0</v>
      </c>
      <c r="J67" s="86">
        <f t="shared" si="11"/>
        <v>10</v>
      </c>
      <c r="O67" s="1">
        <f t="shared" si="2"/>
        <v>0</v>
      </c>
    </row>
    <row r="68" spans="1:15" s="9" customFormat="1" ht="15.75" customHeight="1" x14ac:dyDescent="0.25">
      <c r="A68" s="129" t="s">
        <v>545</v>
      </c>
      <c r="B68" s="129"/>
      <c r="C68" s="3" t="s">
        <v>8</v>
      </c>
      <c r="D68" s="3" t="s">
        <v>51</v>
      </c>
      <c r="E68" s="3" t="s">
        <v>244</v>
      </c>
      <c r="F68" s="3"/>
      <c r="G68" s="85">
        <f t="shared" si="11"/>
        <v>10</v>
      </c>
      <c r="H68" s="85">
        <f t="shared" si="11"/>
        <v>10</v>
      </c>
      <c r="I68" s="85">
        <f t="shared" si="11"/>
        <v>0</v>
      </c>
      <c r="J68" s="85">
        <f t="shared" si="11"/>
        <v>10</v>
      </c>
      <c r="O68" s="1">
        <f t="shared" si="2"/>
        <v>0</v>
      </c>
    </row>
    <row r="69" spans="1:15" s="9" customFormat="1" ht="40.5" customHeight="1" x14ac:dyDescent="0.25">
      <c r="A69" s="129" t="s">
        <v>551</v>
      </c>
      <c r="B69" s="129"/>
      <c r="C69" s="3" t="s">
        <v>8</v>
      </c>
      <c r="D69" s="3" t="s">
        <v>51</v>
      </c>
      <c r="E69" s="3" t="s">
        <v>552</v>
      </c>
      <c r="F69" s="3"/>
      <c r="G69" s="85">
        <f t="shared" si="11"/>
        <v>10</v>
      </c>
      <c r="H69" s="85">
        <f t="shared" si="11"/>
        <v>10</v>
      </c>
      <c r="I69" s="85">
        <f t="shared" si="11"/>
        <v>0</v>
      </c>
      <c r="J69" s="85">
        <f t="shared" si="11"/>
        <v>10</v>
      </c>
      <c r="O69" s="1">
        <f t="shared" si="2"/>
        <v>0</v>
      </c>
    </row>
    <row r="70" spans="1:15" s="9" customFormat="1" ht="29.25" customHeight="1" x14ac:dyDescent="0.25">
      <c r="A70" s="55"/>
      <c r="B70" s="59" t="s">
        <v>61</v>
      </c>
      <c r="C70" s="88" t="s">
        <v>8</v>
      </c>
      <c r="D70" s="3" t="s">
        <v>51</v>
      </c>
      <c r="E70" s="3" t="s">
        <v>552</v>
      </c>
      <c r="F70" s="3" t="s">
        <v>62</v>
      </c>
      <c r="G70" s="85">
        <f>[1]Свод!J398/1000</f>
        <v>10</v>
      </c>
      <c r="H70" s="85">
        <v>10</v>
      </c>
      <c r="I70" s="85"/>
      <c r="J70" s="85">
        <f>H70+I70</f>
        <v>10</v>
      </c>
      <c r="O70" s="1">
        <f t="shared" si="2"/>
        <v>0</v>
      </c>
    </row>
    <row r="71" spans="1:15" s="6" customFormat="1" ht="30" customHeight="1" x14ac:dyDescent="0.25">
      <c r="A71" s="128" t="s">
        <v>63</v>
      </c>
      <c r="B71" s="128"/>
      <c r="C71" s="81" t="s">
        <v>8</v>
      </c>
      <c r="D71" s="81" t="s">
        <v>64</v>
      </c>
      <c r="E71" s="81"/>
      <c r="F71" s="81"/>
      <c r="G71" s="86">
        <f>G72+G75</f>
        <v>414.04942294080001</v>
      </c>
      <c r="H71" s="86">
        <f>H72+H75</f>
        <v>486.8</v>
      </c>
      <c r="I71" s="86">
        <f>I72+I75</f>
        <v>0</v>
      </c>
      <c r="J71" s="86">
        <f>J72+J75</f>
        <v>438.51300000000003</v>
      </c>
      <c r="O71" s="1">
        <f t="shared" si="2"/>
        <v>0</v>
      </c>
    </row>
    <row r="72" spans="1:15" s="1" customFormat="1" ht="15.75" hidden="1" customHeight="1" x14ac:dyDescent="0.25">
      <c r="A72" s="129" t="s">
        <v>26</v>
      </c>
      <c r="B72" s="129"/>
      <c r="C72" s="3" t="s">
        <v>8</v>
      </c>
      <c r="D72" s="3" t="s">
        <v>64</v>
      </c>
      <c r="E72" s="3" t="s">
        <v>28</v>
      </c>
      <c r="F72" s="3"/>
      <c r="G72" s="85">
        <f t="shared" ref="G72:J73" si="12">G73</f>
        <v>0</v>
      </c>
      <c r="H72" s="85">
        <f t="shared" si="12"/>
        <v>0</v>
      </c>
      <c r="I72" s="85">
        <f t="shared" si="12"/>
        <v>0</v>
      </c>
      <c r="J72" s="85">
        <f t="shared" si="12"/>
        <v>0</v>
      </c>
      <c r="O72" s="1">
        <f t="shared" si="2"/>
        <v>0</v>
      </c>
    </row>
    <row r="73" spans="1:15" s="1" customFormat="1" ht="15.75" hidden="1" customHeight="1" x14ac:dyDescent="0.25">
      <c r="A73" s="129" t="s">
        <v>65</v>
      </c>
      <c r="B73" s="129"/>
      <c r="C73" s="3" t="s">
        <v>8</v>
      </c>
      <c r="D73" s="3" t="s">
        <v>64</v>
      </c>
      <c r="E73" s="3" t="s">
        <v>66</v>
      </c>
      <c r="F73" s="3"/>
      <c r="G73" s="85">
        <f t="shared" si="12"/>
        <v>0</v>
      </c>
      <c r="H73" s="85">
        <f t="shared" si="12"/>
        <v>0</v>
      </c>
      <c r="I73" s="85">
        <f t="shared" si="12"/>
        <v>0</v>
      </c>
      <c r="J73" s="85">
        <f t="shared" si="12"/>
        <v>0</v>
      </c>
      <c r="O73" s="1">
        <f t="shared" si="2"/>
        <v>0</v>
      </c>
    </row>
    <row r="74" spans="1:15" s="1" customFormat="1" ht="15.75" hidden="1" customHeight="1" x14ac:dyDescent="0.25">
      <c r="A74" s="55"/>
      <c r="B74" s="59" t="s">
        <v>31</v>
      </c>
      <c r="C74" s="3" t="s">
        <v>8</v>
      </c>
      <c r="D74" s="3" t="s">
        <v>64</v>
      </c>
      <c r="E74" s="3" t="s">
        <v>66</v>
      </c>
      <c r="F74" s="3" t="s">
        <v>32</v>
      </c>
      <c r="G74" s="85"/>
      <c r="H74" s="85"/>
      <c r="I74" s="85"/>
      <c r="J74" s="85"/>
      <c r="O74" s="1">
        <f t="shared" si="2"/>
        <v>0</v>
      </c>
    </row>
    <row r="75" spans="1:15" s="1" customFormat="1" ht="15" customHeight="1" x14ac:dyDescent="0.25">
      <c r="A75" s="129" t="s">
        <v>67</v>
      </c>
      <c r="B75" s="129"/>
      <c r="C75" s="3" t="s">
        <v>8</v>
      </c>
      <c r="D75" s="3" t="s">
        <v>64</v>
      </c>
      <c r="E75" s="3" t="s">
        <v>68</v>
      </c>
      <c r="F75" s="3"/>
      <c r="G75" s="85">
        <f>G76</f>
        <v>414.04942294080001</v>
      </c>
      <c r="H75" s="85">
        <f>H76</f>
        <v>486.8</v>
      </c>
      <c r="I75" s="85">
        <f>I76</f>
        <v>0</v>
      </c>
      <c r="J75" s="85">
        <f>J76</f>
        <v>438.51300000000003</v>
      </c>
      <c r="O75" s="1">
        <f t="shared" si="2"/>
        <v>0</v>
      </c>
    </row>
    <row r="76" spans="1:15" s="1" customFormat="1" ht="27" customHeight="1" x14ac:dyDescent="0.25">
      <c r="A76" s="129" t="s">
        <v>69</v>
      </c>
      <c r="B76" s="129"/>
      <c r="C76" s="3" t="s">
        <v>8</v>
      </c>
      <c r="D76" s="3" t="s">
        <v>64</v>
      </c>
      <c r="E76" s="3" t="s">
        <v>70</v>
      </c>
      <c r="F76" s="3"/>
      <c r="G76" s="85">
        <f>G78</f>
        <v>414.04942294080001</v>
      </c>
      <c r="H76" s="85">
        <f>H77+H79</f>
        <v>486.8</v>
      </c>
      <c r="I76" s="85">
        <f>I77+I79</f>
        <v>0</v>
      </c>
      <c r="J76" s="85">
        <f>J77+J79</f>
        <v>438.51300000000003</v>
      </c>
      <c r="O76" s="1">
        <f t="shared" si="2"/>
        <v>0</v>
      </c>
    </row>
    <row r="77" spans="1:15" s="1" customFormat="1" ht="27" customHeight="1" x14ac:dyDescent="0.25">
      <c r="A77" s="129" t="s">
        <v>553</v>
      </c>
      <c r="B77" s="129"/>
      <c r="C77" s="3" t="s">
        <v>64</v>
      </c>
      <c r="D77" s="3" t="s">
        <v>64</v>
      </c>
      <c r="E77" s="3" t="s">
        <v>554</v>
      </c>
      <c r="F77" s="3"/>
      <c r="G77" s="85"/>
      <c r="H77" s="85">
        <f>H78</f>
        <v>484.3</v>
      </c>
      <c r="I77" s="85">
        <f>I78</f>
        <v>0</v>
      </c>
      <c r="J77" s="85">
        <f>J78</f>
        <v>436.01300000000003</v>
      </c>
      <c r="O77" s="1">
        <f t="shared" ref="O77:O140" si="13">N77*5.07/100</f>
        <v>0</v>
      </c>
    </row>
    <row r="78" spans="1:15" s="1" customFormat="1" ht="29.25" customHeight="1" x14ac:dyDescent="0.25">
      <c r="A78" s="55"/>
      <c r="B78" s="59" t="s">
        <v>61</v>
      </c>
      <c r="C78" s="88" t="s">
        <v>8</v>
      </c>
      <c r="D78" s="3" t="s">
        <v>64</v>
      </c>
      <c r="E78" s="3" t="s">
        <v>554</v>
      </c>
      <c r="F78" s="3" t="s">
        <v>62</v>
      </c>
      <c r="G78" s="85">
        <f>[1]Свод!J431/1000</f>
        <v>414.04942294080001</v>
      </c>
      <c r="H78" s="85">
        <v>484.3</v>
      </c>
      <c r="I78" s="85"/>
      <c r="J78" s="85">
        <f>H78+I78-23.287-25</f>
        <v>436.01300000000003</v>
      </c>
      <c r="K78" s="1">
        <v>-25</v>
      </c>
      <c r="N78" s="11">
        <f>J78+K78</f>
        <v>411.01300000000003</v>
      </c>
      <c r="O78" s="1">
        <f t="shared" si="13"/>
        <v>20.838359100000002</v>
      </c>
    </row>
    <row r="79" spans="1:15" s="1" customFormat="1" ht="38.25" customHeight="1" x14ac:dyDescent="0.25">
      <c r="A79" s="129" t="s">
        <v>555</v>
      </c>
      <c r="B79" s="129"/>
      <c r="C79" s="3" t="s">
        <v>64</v>
      </c>
      <c r="D79" s="3" t="s">
        <v>64</v>
      </c>
      <c r="E79" s="3" t="s">
        <v>556</v>
      </c>
      <c r="F79" s="3"/>
      <c r="G79" s="85"/>
      <c r="H79" s="85">
        <f>H80</f>
        <v>2.5</v>
      </c>
      <c r="I79" s="85">
        <f>I80</f>
        <v>0</v>
      </c>
      <c r="J79" s="85">
        <f>J80</f>
        <v>2.5</v>
      </c>
      <c r="O79" s="1">
        <f t="shared" si="13"/>
        <v>0</v>
      </c>
    </row>
    <row r="80" spans="1:15" s="1" customFormat="1" ht="29.25" customHeight="1" x14ac:dyDescent="0.25">
      <c r="A80" s="55"/>
      <c r="B80" s="59" t="s">
        <v>61</v>
      </c>
      <c r="C80" s="88" t="s">
        <v>8</v>
      </c>
      <c r="D80" s="3" t="s">
        <v>64</v>
      </c>
      <c r="E80" s="3" t="s">
        <v>556</v>
      </c>
      <c r="F80" s="3" t="s">
        <v>62</v>
      </c>
      <c r="G80" s="85" t="e">
        <f>[1]Свод!J433/1000</f>
        <v>#REF!</v>
      </c>
      <c r="H80" s="85">
        <v>2.5</v>
      </c>
      <c r="I80" s="85"/>
      <c r="J80" s="85">
        <f>H80+I80</f>
        <v>2.5</v>
      </c>
      <c r="O80" s="1">
        <f t="shared" si="13"/>
        <v>0</v>
      </c>
    </row>
    <row r="81" spans="1:15" s="4" customFormat="1" ht="15.75" customHeight="1" x14ac:dyDescent="0.25">
      <c r="A81" s="132" t="s">
        <v>71</v>
      </c>
      <c r="B81" s="132"/>
      <c r="C81" s="79" t="s">
        <v>18</v>
      </c>
      <c r="D81" s="79"/>
      <c r="E81" s="79"/>
      <c r="F81" s="79"/>
      <c r="G81" s="80">
        <f>G89+G112</f>
        <v>832.5</v>
      </c>
      <c r="H81" s="80">
        <f>H89+H100+H112</f>
        <v>842.5</v>
      </c>
      <c r="I81" s="80">
        <f>I89+I100+I112</f>
        <v>578.85300000000007</v>
      </c>
      <c r="J81" s="80">
        <f>J89+J100+J112</f>
        <v>1398.0530000000001</v>
      </c>
      <c r="O81" s="1">
        <f t="shared" si="13"/>
        <v>0</v>
      </c>
    </row>
    <row r="82" spans="1:15" s="1" customFormat="1" ht="15" hidden="1" customHeight="1" x14ac:dyDescent="0.25">
      <c r="A82" s="129" t="s">
        <v>72</v>
      </c>
      <c r="B82" s="129"/>
      <c r="C82" s="3" t="s">
        <v>18</v>
      </c>
      <c r="D82" s="3" t="s">
        <v>6</v>
      </c>
      <c r="E82" s="3"/>
      <c r="F82" s="3"/>
      <c r="G82" s="85">
        <f t="shared" ref="G82:J83" si="14">G83</f>
        <v>0</v>
      </c>
      <c r="H82" s="85">
        <f t="shared" si="14"/>
        <v>1</v>
      </c>
      <c r="I82" s="85">
        <f t="shared" si="14"/>
        <v>2</v>
      </c>
      <c r="J82" s="85">
        <f t="shared" si="14"/>
        <v>3</v>
      </c>
      <c r="O82" s="1">
        <f t="shared" si="13"/>
        <v>0</v>
      </c>
    </row>
    <row r="83" spans="1:15" s="1" customFormat="1" ht="12.75" hidden="1" customHeight="1" x14ac:dyDescent="0.25">
      <c r="A83" s="129" t="s">
        <v>73</v>
      </c>
      <c r="B83" s="129"/>
      <c r="C83" s="3" t="s">
        <v>18</v>
      </c>
      <c r="D83" s="3" t="s">
        <v>6</v>
      </c>
      <c r="E83" s="3" t="s">
        <v>74</v>
      </c>
      <c r="F83" s="3"/>
      <c r="G83" s="85">
        <f t="shared" si="14"/>
        <v>0</v>
      </c>
      <c r="H83" s="85">
        <f t="shared" si="14"/>
        <v>1</v>
      </c>
      <c r="I83" s="85">
        <f t="shared" si="14"/>
        <v>2</v>
      </c>
      <c r="J83" s="85">
        <f t="shared" si="14"/>
        <v>3</v>
      </c>
      <c r="O83" s="1">
        <f t="shared" si="13"/>
        <v>0</v>
      </c>
    </row>
    <row r="84" spans="1:15" s="1" customFormat="1" ht="33.75" hidden="1" customHeight="1" x14ac:dyDescent="0.25">
      <c r="A84" s="129" t="s">
        <v>75</v>
      </c>
      <c r="B84" s="129"/>
      <c r="C84" s="3" t="s">
        <v>18</v>
      </c>
      <c r="D84" s="3" t="s">
        <v>6</v>
      </c>
      <c r="E84" s="3" t="s">
        <v>76</v>
      </c>
      <c r="F84" s="3"/>
      <c r="G84" s="85">
        <f>G85+G87</f>
        <v>0</v>
      </c>
      <c r="H84" s="85">
        <f>H85+H87</f>
        <v>1</v>
      </c>
      <c r="I84" s="85">
        <f>I85+I87</f>
        <v>2</v>
      </c>
      <c r="J84" s="85">
        <f>J85+J87</f>
        <v>3</v>
      </c>
      <c r="O84" s="1">
        <f t="shared" si="13"/>
        <v>0</v>
      </c>
    </row>
    <row r="85" spans="1:15" s="1" customFormat="1" ht="41.25" hidden="1" customHeight="1" x14ac:dyDescent="0.25">
      <c r="A85" s="129" t="s">
        <v>77</v>
      </c>
      <c r="B85" s="129"/>
      <c r="C85" s="3" t="s">
        <v>18</v>
      </c>
      <c r="D85" s="3" t="s">
        <v>6</v>
      </c>
      <c r="E85" s="3" t="s">
        <v>78</v>
      </c>
      <c r="F85" s="3"/>
      <c r="G85" s="85">
        <f>G86</f>
        <v>0</v>
      </c>
      <c r="H85" s="85">
        <f>H86</f>
        <v>1</v>
      </c>
      <c r="I85" s="85">
        <f>I86</f>
        <v>2</v>
      </c>
      <c r="J85" s="85">
        <f>J86</f>
        <v>3</v>
      </c>
      <c r="O85" s="1">
        <f t="shared" si="13"/>
        <v>0</v>
      </c>
    </row>
    <row r="86" spans="1:15" s="1" customFormat="1" ht="15.75" hidden="1" customHeight="1" x14ac:dyDescent="0.25">
      <c r="A86" s="55"/>
      <c r="B86" s="59" t="s">
        <v>31</v>
      </c>
      <c r="C86" s="3" t="s">
        <v>18</v>
      </c>
      <c r="D86" s="3" t="s">
        <v>6</v>
      </c>
      <c r="E86" s="3" t="s">
        <v>78</v>
      </c>
      <c r="F86" s="3" t="s">
        <v>32</v>
      </c>
      <c r="G86" s="85">
        <v>0</v>
      </c>
      <c r="H86" s="85">
        <v>1</v>
      </c>
      <c r="I86" s="85">
        <v>2</v>
      </c>
      <c r="J86" s="85">
        <v>3</v>
      </c>
      <c r="O86" s="1">
        <f t="shared" si="13"/>
        <v>0</v>
      </c>
    </row>
    <row r="87" spans="1:15" s="1" customFormat="1" ht="51.75" hidden="1" customHeight="1" x14ac:dyDescent="0.25">
      <c r="A87" s="129" t="s">
        <v>79</v>
      </c>
      <c r="B87" s="129"/>
      <c r="C87" s="3" t="s">
        <v>18</v>
      </c>
      <c r="D87" s="3" t="s">
        <v>6</v>
      </c>
      <c r="E87" s="3" t="s">
        <v>80</v>
      </c>
      <c r="F87" s="3"/>
      <c r="G87" s="85">
        <f>G88</f>
        <v>0</v>
      </c>
      <c r="H87" s="85">
        <f>H88</f>
        <v>0</v>
      </c>
      <c r="I87" s="85">
        <f>I88</f>
        <v>0</v>
      </c>
      <c r="J87" s="85">
        <f>J88</f>
        <v>0</v>
      </c>
      <c r="O87" s="1">
        <f t="shared" si="13"/>
        <v>0</v>
      </c>
    </row>
    <row r="88" spans="1:15" s="1" customFormat="1" ht="15.75" hidden="1" customHeight="1" x14ac:dyDescent="0.25">
      <c r="A88" s="55"/>
      <c r="B88" s="59" t="s">
        <v>31</v>
      </c>
      <c r="C88" s="3" t="s">
        <v>18</v>
      </c>
      <c r="D88" s="3" t="s">
        <v>6</v>
      </c>
      <c r="E88" s="3" t="s">
        <v>80</v>
      </c>
      <c r="F88" s="3" t="s">
        <v>32</v>
      </c>
      <c r="G88" s="85"/>
      <c r="H88" s="85"/>
      <c r="I88" s="85"/>
      <c r="J88" s="85"/>
      <c r="O88" s="1">
        <f t="shared" si="13"/>
        <v>0</v>
      </c>
    </row>
    <row r="89" spans="1:15" s="6" customFormat="1" ht="15" customHeight="1" x14ac:dyDescent="0.25">
      <c r="A89" s="128" t="s">
        <v>81</v>
      </c>
      <c r="B89" s="128"/>
      <c r="C89" s="81" t="s">
        <v>18</v>
      </c>
      <c r="D89" s="81" t="s">
        <v>82</v>
      </c>
      <c r="E89" s="81"/>
      <c r="F89" s="81"/>
      <c r="G89" s="86">
        <f>G95</f>
        <v>715</v>
      </c>
      <c r="H89" s="86">
        <f>H90+H95</f>
        <v>715</v>
      </c>
      <c r="I89" s="86">
        <f>I90+I95</f>
        <v>527.15300000000002</v>
      </c>
      <c r="J89" s="86">
        <f>J90+J95</f>
        <v>1218.8530000000001</v>
      </c>
      <c r="O89" s="1">
        <f t="shared" si="13"/>
        <v>0</v>
      </c>
    </row>
    <row r="90" spans="1:15" s="1" customFormat="1" ht="15.75" customHeight="1" x14ac:dyDescent="0.25">
      <c r="A90" s="129" t="s">
        <v>26</v>
      </c>
      <c r="B90" s="129"/>
      <c r="C90" s="3" t="s">
        <v>18</v>
      </c>
      <c r="D90" s="3" t="s">
        <v>82</v>
      </c>
      <c r="E90" s="3" t="s">
        <v>28</v>
      </c>
      <c r="F90" s="3"/>
      <c r="G90" s="85">
        <f>G93</f>
        <v>57</v>
      </c>
      <c r="H90" s="85">
        <f>H91+H93</f>
        <v>0</v>
      </c>
      <c r="I90" s="85">
        <f>I91+I93</f>
        <v>573.75300000000004</v>
      </c>
      <c r="J90" s="85">
        <f>J91+J93</f>
        <v>573.75300000000004</v>
      </c>
      <c r="O90" s="1">
        <f t="shared" si="13"/>
        <v>0</v>
      </c>
    </row>
    <row r="91" spans="1:15" s="1" customFormat="1" ht="25.5" customHeight="1" x14ac:dyDescent="0.25">
      <c r="A91" s="129" t="s">
        <v>557</v>
      </c>
      <c r="B91" s="129"/>
      <c r="C91" s="3" t="s">
        <v>18</v>
      </c>
      <c r="D91" s="3" t="s">
        <v>82</v>
      </c>
      <c r="E91" s="3" t="s">
        <v>558</v>
      </c>
      <c r="F91" s="3"/>
      <c r="G91" s="85">
        <f>G92</f>
        <v>443.48599999999999</v>
      </c>
      <c r="H91" s="85">
        <f>H92</f>
        <v>0</v>
      </c>
      <c r="I91" s="85">
        <f>I92</f>
        <v>568.75300000000004</v>
      </c>
      <c r="J91" s="85">
        <f>J92</f>
        <v>568.75300000000004</v>
      </c>
      <c r="O91" s="1">
        <f t="shared" si="13"/>
        <v>0</v>
      </c>
    </row>
    <row r="92" spans="1:15" s="1" customFormat="1" ht="15.75" customHeight="1" x14ac:dyDescent="0.25">
      <c r="A92" s="55"/>
      <c r="B92" s="59" t="s">
        <v>31</v>
      </c>
      <c r="C92" s="3" t="s">
        <v>18</v>
      </c>
      <c r="D92" s="3" t="s">
        <v>82</v>
      </c>
      <c r="E92" s="3" t="s">
        <v>558</v>
      </c>
      <c r="F92" s="3" t="s">
        <v>32</v>
      </c>
      <c r="G92" s="85">
        <v>443.48599999999999</v>
      </c>
      <c r="H92" s="85"/>
      <c r="I92" s="85">
        <v>568.75300000000004</v>
      </c>
      <c r="J92" s="85">
        <f>I92+H92</f>
        <v>568.75300000000004</v>
      </c>
      <c r="O92" s="1">
        <f t="shared" si="13"/>
        <v>0</v>
      </c>
    </row>
    <row r="93" spans="1:15" s="1" customFormat="1" ht="15.75" customHeight="1" x14ac:dyDescent="0.25">
      <c r="A93" s="129" t="s">
        <v>29</v>
      </c>
      <c r="B93" s="129"/>
      <c r="C93" s="3" t="s">
        <v>18</v>
      </c>
      <c r="D93" s="3" t="s">
        <v>82</v>
      </c>
      <c r="E93" s="3" t="s">
        <v>30</v>
      </c>
      <c r="F93" s="3"/>
      <c r="G93" s="85">
        <f>G94</f>
        <v>57</v>
      </c>
      <c r="H93" s="85">
        <f>H94</f>
        <v>0</v>
      </c>
      <c r="I93" s="85">
        <f>I94</f>
        <v>5</v>
      </c>
      <c r="J93" s="85">
        <f>J94</f>
        <v>5</v>
      </c>
      <c r="O93" s="1">
        <f t="shared" si="13"/>
        <v>0</v>
      </c>
    </row>
    <row r="94" spans="1:15" s="1" customFormat="1" ht="15.75" customHeight="1" x14ac:dyDescent="0.25">
      <c r="A94" s="55"/>
      <c r="B94" s="59" t="s">
        <v>31</v>
      </c>
      <c r="C94" s="3" t="s">
        <v>18</v>
      </c>
      <c r="D94" s="3" t="s">
        <v>82</v>
      </c>
      <c r="E94" s="3" t="s">
        <v>30</v>
      </c>
      <c r="F94" s="3" t="s">
        <v>32</v>
      </c>
      <c r="G94" s="85">
        <v>57</v>
      </c>
      <c r="H94" s="85"/>
      <c r="I94" s="85">
        <f>5</f>
        <v>5</v>
      </c>
      <c r="J94" s="85">
        <f>H94+I94</f>
        <v>5</v>
      </c>
      <c r="O94" s="1">
        <f t="shared" si="13"/>
        <v>0</v>
      </c>
    </row>
    <row r="95" spans="1:15" s="1" customFormat="1" ht="15.75" customHeight="1" x14ac:dyDescent="0.25">
      <c r="A95" s="129" t="s">
        <v>545</v>
      </c>
      <c r="B95" s="129"/>
      <c r="C95" s="3" t="s">
        <v>18</v>
      </c>
      <c r="D95" s="3" t="s">
        <v>82</v>
      </c>
      <c r="E95" s="3" t="s">
        <v>244</v>
      </c>
      <c r="F95" s="3"/>
      <c r="G95" s="85">
        <f>G96+G98</f>
        <v>715</v>
      </c>
      <c r="H95" s="85">
        <f>H96+H98</f>
        <v>715</v>
      </c>
      <c r="I95" s="85">
        <f>I96+I98</f>
        <v>-46.6</v>
      </c>
      <c r="J95" s="85">
        <f>J96+J98</f>
        <v>645.1</v>
      </c>
      <c r="O95" s="1">
        <f t="shared" si="13"/>
        <v>0</v>
      </c>
    </row>
    <row r="96" spans="1:15" s="1" customFormat="1" ht="27" customHeight="1" x14ac:dyDescent="0.25">
      <c r="A96" s="129" t="s">
        <v>559</v>
      </c>
      <c r="B96" s="129"/>
      <c r="C96" s="3" t="s">
        <v>18</v>
      </c>
      <c r="D96" s="3" t="s">
        <v>82</v>
      </c>
      <c r="E96" s="3" t="s">
        <v>560</v>
      </c>
      <c r="F96" s="3"/>
      <c r="G96" s="85">
        <f>G97</f>
        <v>55</v>
      </c>
      <c r="H96" s="85">
        <f>H97</f>
        <v>55</v>
      </c>
      <c r="I96" s="85">
        <f>I97</f>
        <v>0</v>
      </c>
      <c r="J96" s="85">
        <f>J97</f>
        <v>50</v>
      </c>
      <c r="O96" s="1">
        <f t="shared" si="13"/>
        <v>0</v>
      </c>
    </row>
    <row r="97" spans="1:15" s="1" customFormat="1" ht="16.5" customHeight="1" x14ac:dyDescent="0.25">
      <c r="A97" s="37"/>
      <c r="B97" s="84" t="s">
        <v>83</v>
      </c>
      <c r="C97" s="3" t="s">
        <v>18</v>
      </c>
      <c r="D97" s="3" t="s">
        <v>82</v>
      </c>
      <c r="E97" s="3" t="s">
        <v>560</v>
      </c>
      <c r="F97" s="3" t="s">
        <v>84</v>
      </c>
      <c r="G97" s="85">
        <f>[1]Свод!L497/1000</f>
        <v>55</v>
      </c>
      <c r="H97" s="85">
        <v>55</v>
      </c>
      <c r="I97" s="85"/>
      <c r="J97" s="85">
        <f>H97+I97-5</f>
        <v>50</v>
      </c>
      <c r="K97" s="1">
        <v>-5</v>
      </c>
      <c r="O97" s="1">
        <f t="shared" si="13"/>
        <v>0</v>
      </c>
    </row>
    <row r="98" spans="1:15" s="1" customFormat="1" ht="27.75" customHeight="1" x14ac:dyDescent="0.25">
      <c r="A98" s="129" t="s">
        <v>561</v>
      </c>
      <c r="B98" s="129"/>
      <c r="C98" s="3" t="s">
        <v>18</v>
      </c>
      <c r="D98" s="3" t="s">
        <v>82</v>
      </c>
      <c r="E98" s="3" t="s">
        <v>562</v>
      </c>
      <c r="F98" s="3"/>
      <c r="G98" s="85">
        <f>G99</f>
        <v>660</v>
      </c>
      <c r="H98" s="85">
        <f>H99</f>
        <v>660</v>
      </c>
      <c r="I98" s="85">
        <f>I99</f>
        <v>-46.6</v>
      </c>
      <c r="J98" s="85">
        <f>J99</f>
        <v>595.1</v>
      </c>
      <c r="O98" s="1">
        <f t="shared" si="13"/>
        <v>0</v>
      </c>
    </row>
    <row r="99" spans="1:15" s="1" customFormat="1" ht="18" customHeight="1" x14ac:dyDescent="0.25">
      <c r="A99" s="37"/>
      <c r="B99" s="84" t="s">
        <v>83</v>
      </c>
      <c r="C99" s="3" t="s">
        <v>18</v>
      </c>
      <c r="D99" s="3" t="s">
        <v>82</v>
      </c>
      <c r="E99" s="3" t="s">
        <v>562</v>
      </c>
      <c r="F99" s="3" t="s">
        <v>84</v>
      </c>
      <c r="G99" s="85">
        <f>[1]Свод!M497/1000</f>
        <v>660</v>
      </c>
      <c r="H99" s="85">
        <v>660</v>
      </c>
      <c r="I99" s="85">
        <v>-46.6</v>
      </c>
      <c r="J99" s="85">
        <f>H99+I99-18.3</f>
        <v>595.1</v>
      </c>
      <c r="K99" s="1">
        <v>-18.3</v>
      </c>
      <c r="O99" s="1">
        <f t="shared" si="13"/>
        <v>0</v>
      </c>
    </row>
    <row r="100" spans="1:15" s="6" customFormat="1" ht="15" customHeight="1" x14ac:dyDescent="0.25">
      <c r="A100" s="128" t="s">
        <v>563</v>
      </c>
      <c r="B100" s="128"/>
      <c r="C100" s="81" t="s">
        <v>18</v>
      </c>
      <c r="D100" s="81" t="s">
        <v>23</v>
      </c>
      <c r="E100" s="81"/>
      <c r="F100" s="81"/>
      <c r="G100" s="86" t="e">
        <f>G104</f>
        <v>#REF!</v>
      </c>
      <c r="H100" s="86">
        <f>H101+H104+H109</f>
        <v>10</v>
      </c>
      <c r="I100" s="86">
        <f>I101+I104+I109</f>
        <v>51.7</v>
      </c>
      <c r="J100" s="86">
        <f>J101+J104+J109</f>
        <v>61.7</v>
      </c>
      <c r="O100" s="1">
        <f t="shared" si="13"/>
        <v>0</v>
      </c>
    </row>
    <row r="101" spans="1:15" s="1" customFormat="1" ht="15.75" customHeight="1" x14ac:dyDescent="0.25">
      <c r="A101" s="129" t="s">
        <v>26</v>
      </c>
      <c r="B101" s="129"/>
      <c r="C101" s="3" t="s">
        <v>18</v>
      </c>
      <c r="D101" s="3" t="s">
        <v>23</v>
      </c>
      <c r="E101" s="3" t="s">
        <v>28</v>
      </c>
      <c r="F101" s="3"/>
      <c r="G101" s="85">
        <f t="shared" ref="G101:J102" si="15">G102</f>
        <v>57</v>
      </c>
      <c r="H101" s="85">
        <f t="shared" si="15"/>
        <v>0</v>
      </c>
      <c r="I101" s="85">
        <f t="shared" si="15"/>
        <v>4.5</v>
      </c>
      <c r="J101" s="85">
        <f t="shared" si="15"/>
        <v>4.5</v>
      </c>
      <c r="O101" s="1">
        <f t="shared" si="13"/>
        <v>0</v>
      </c>
    </row>
    <row r="102" spans="1:15" s="1" customFormat="1" ht="15.75" customHeight="1" x14ac:dyDescent="0.25">
      <c r="A102" s="129" t="s">
        <v>29</v>
      </c>
      <c r="B102" s="129"/>
      <c r="C102" s="3" t="s">
        <v>18</v>
      </c>
      <c r="D102" s="3" t="s">
        <v>23</v>
      </c>
      <c r="E102" s="3" t="s">
        <v>30</v>
      </c>
      <c r="F102" s="3"/>
      <c r="G102" s="85">
        <f t="shared" si="15"/>
        <v>57</v>
      </c>
      <c r="H102" s="85">
        <f t="shared" si="15"/>
        <v>0</v>
      </c>
      <c r="I102" s="85">
        <f t="shared" si="15"/>
        <v>4.5</v>
      </c>
      <c r="J102" s="85">
        <f t="shared" si="15"/>
        <v>4.5</v>
      </c>
      <c r="O102" s="1">
        <f t="shared" si="13"/>
        <v>0</v>
      </c>
    </row>
    <row r="103" spans="1:15" s="1" customFormat="1" ht="15.75" customHeight="1" x14ac:dyDescent="0.25">
      <c r="A103" s="55"/>
      <c r="B103" s="59" t="s">
        <v>31</v>
      </c>
      <c r="C103" s="3" t="s">
        <v>18</v>
      </c>
      <c r="D103" s="3" t="s">
        <v>23</v>
      </c>
      <c r="E103" s="3" t="s">
        <v>30</v>
      </c>
      <c r="F103" s="3" t="s">
        <v>32</v>
      </c>
      <c r="G103" s="85">
        <v>57</v>
      </c>
      <c r="H103" s="85"/>
      <c r="I103" s="85">
        <v>4.5</v>
      </c>
      <c r="J103" s="85">
        <f>H103+I103</f>
        <v>4.5</v>
      </c>
      <c r="O103" s="1">
        <f t="shared" si="13"/>
        <v>0</v>
      </c>
    </row>
    <row r="104" spans="1:15" s="1" customFormat="1" ht="15.75" customHeight="1" x14ac:dyDescent="0.25">
      <c r="A104" s="129" t="s">
        <v>564</v>
      </c>
      <c r="B104" s="129"/>
      <c r="C104" s="3" t="s">
        <v>18</v>
      </c>
      <c r="D104" s="3" t="s">
        <v>23</v>
      </c>
      <c r="E104" s="3" t="s">
        <v>565</v>
      </c>
      <c r="F104" s="3"/>
      <c r="G104" s="85" t="e">
        <f>G106+G113</f>
        <v>#REF!</v>
      </c>
      <c r="H104" s="85">
        <f>H105+H107</f>
        <v>10</v>
      </c>
      <c r="I104" s="85">
        <f>I105+I107</f>
        <v>2.1999999999999993</v>
      </c>
      <c r="J104" s="85">
        <f>J105+J107</f>
        <v>12.2</v>
      </c>
      <c r="O104" s="1">
        <f t="shared" si="13"/>
        <v>0</v>
      </c>
    </row>
    <row r="105" spans="1:15" s="1" customFormat="1" ht="15.75" customHeight="1" x14ac:dyDescent="0.25">
      <c r="A105" s="129" t="s">
        <v>566</v>
      </c>
      <c r="B105" s="129"/>
      <c r="C105" s="3" t="s">
        <v>18</v>
      </c>
      <c r="D105" s="3" t="s">
        <v>23</v>
      </c>
      <c r="E105" s="3" t="s">
        <v>567</v>
      </c>
      <c r="F105" s="3"/>
      <c r="G105" s="85"/>
      <c r="H105" s="85">
        <f>H106</f>
        <v>10</v>
      </c>
      <c r="I105" s="85">
        <f t="shared" ref="I105:J107" si="16">I106</f>
        <v>-10</v>
      </c>
      <c r="J105" s="85">
        <f t="shared" si="16"/>
        <v>0</v>
      </c>
      <c r="O105" s="1">
        <f t="shared" si="13"/>
        <v>0</v>
      </c>
    </row>
    <row r="106" spans="1:15" s="1" customFormat="1" ht="16.5" customHeight="1" x14ac:dyDescent="0.25">
      <c r="A106" s="55"/>
      <c r="B106" s="84" t="s">
        <v>40</v>
      </c>
      <c r="C106" s="3" t="s">
        <v>18</v>
      </c>
      <c r="D106" s="3" t="s">
        <v>23</v>
      </c>
      <c r="E106" s="3" t="s">
        <v>567</v>
      </c>
      <c r="F106" s="3" t="s">
        <v>41</v>
      </c>
      <c r="G106" s="85" t="e">
        <f>[1]Свод!N131/1000</f>
        <v>#REF!</v>
      </c>
      <c r="H106" s="85">
        <v>10</v>
      </c>
      <c r="I106" s="85">
        <v>-10</v>
      </c>
      <c r="J106" s="85">
        <f>H106+I106</f>
        <v>0</v>
      </c>
      <c r="O106" s="1">
        <f t="shared" si="13"/>
        <v>0</v>
      </c>
    </row>
    <row r="107" spans="1:15" s="1" customFormat="1" ht="30" customHeight="1" x14ac:dyDescent="0.25">
      <c r="A107" s="129" t="s">
        <v>568</v>
      </c>
      <c r="B107" s="129"/>
      <c r="C107" s="3" t="s">
        <v>18</v>
      </c>
      <c r="D107" s="3" t="s">
        <v>23</v>
      </c>
      <c r="E107" s="3" t="s">
        <v>569</v>
      </c>
      <c r="F107" s="3"/>
      <c r="G107" s="85"/>
      <c r="H107" s="85">
        <f>H108</f>
        <v>0</v>
      </c>
      <c r="I107" s="85">
        <f t="shared" si="16"/>
        <v>12.2</v>
      </c>
      <c r="J107" s="85">
        <f t="shared" si="16"/>
        <v>12.2</v>
      </c>
      <c r="O107" s="1">
        <f t="shared" si="13"/>
        <v>0</v>
      </c>
    </row>
    <row r="108" spans="1:15" s="1" customFormat="1" ht="16.5" customHeight="1" x14ac:dyDescent="0.25">
      <c r="A108" s="55"/>
      <c r="B108" s="84" t="s">
        <v>40</v>
      </c>
      <c r="C108" s="3" t="s">
        <v>18</v>
      </c>
      <c r="D108" s="3" t="s">
        <v>23</v>
      </c>
      <c r="E108" s="3" t="s">
        <v>569</v>
      </c>
      <c r="F108" s="3" t="s">
        <v>41</v>
      </c>
      <c r="G108" s="85" t="e">
        <f>[1]Свод!N133/1000</f>
        <v>#REF!</v>
      </c>
      <c r="H108" s="85">
        <v>0</v>
      </c>
      <c r="I108" s="85">
        <f>10+2.2</f>
        <v>12.2</v>
      </c>
      <c r="J108" s="85">
        <f>H108+I108</f>
        <v>12.2</v>
      </c>
      <c r="O108" s="1">
        <f t="shared" si="13"/>
        <v>0</v>
      </c>
    </row>
    <row r="109" spans="1:15" s="1" customFormat="1" ht="15.75" customHeight="1" x14ac:dyDescent="0.25">
      <c r="A109" s="129" t="s">
        <v>570</v>
      </c>
      <c r="B109" s="129"/>
      <c r="C109" s="3" t="s">
        <v>18</v>
      </c>
      <c r="D109" s="3" t="s">
        <v>23</v>
      </c>
      <c r="E109" s="3" t="s">
        <v>571</v>
      </c>
      <c r="F109" s="3"/>
      <c r="G109" s="85">
        <f>G112</f>
        <v>117.5</v>
      </c>
      <c r="H109" s="85">
        <f t="shared" ref="H109:J110" si="17">H110</f>
        <v>0</v>
      </c>
      <c r="I109" s="85">
        <f t="shared" si="17"/>
        <v>45</v>
      </c>
      <c r="J109" s="85">
        <f t="shared" si="17"/>
        <v>45</v>
      </c>
      <c r="O109" s="1">
        <f t="shared" si="13"/>
        <v>0</v>
      </c>
    </row>
    <row r="110" spans="1:15" s="1" customFormat="1" ht="41.25" customHeight="1" x14ac:dyDescent="0.25">
      <c r="A110" s="129" t="s">
        <v>572</v>
      </c>
      <c r="B110" s="129"/>
      <c r="C110" s="3" t="s">
        <v>18</v>
      </c>
      <c r="D110" s="3" t="s">
        <v>23</v>
      </c>
      <c r="E110" s="3" t="s">
        <v>573</v>
      </c>
      <c r="F110" s="3"/>
      <c r="G110" s="85">
        <f>G111</f>
        <v>57</v>
      </c>
      <c r="H110" s="85">
        <f t="shared" si="17"/>
        <v>0</v>
      </c>
      <c r="I110" s="85">
        <f t="shared" si="17"/>
        <v>45</v>
      </c>
      <c r="J110" s="85">
        <f t="shared" si="17"/>
        <v>45</v>
      </c>
      <c r="O110" s="1">
        <f t="shared" si="13"/>
        <v>0</v>
      </c>
    </row>
    <row r="111" spans="1:15" s="1" customFormat="1" ht="15.75" customHeight="1" x14ac:dyDescent="0.25">
      <c r="A111" s="55"/>
      <c r="B111" s="59" t="s">
        <v>31</v>
      </c>
      <c r="C111" s="3" t="s">
        <v>18</v>
      </c>
      <c r="D111" s="3" t="s">
        <v>23</v>
      </c>
      <c r="E111" s="3" t="s">
        <v>573</v>
      </c>
      <c r="F111" s="3" t="s">
        <v>32</v>
      </c>
      <c r="G111" s="85">
        <v>57</v>
      </c>
      <c r="H111" s="85"/>
      <c r="I111" s="85">
        <v>45</v>
      </c>
      <c r="J111" s="85">
        <f>H111+I111</f>
        <v>45</v>
      </c>
      <c r="O111" s="1">
        <f t="shared" si="13"/>
        <v>0</v>
      </c>
    </row>
    <row r="112" spans="1:15" s="6" customFormat="1" ht="18" customHeight="1" x14ac:dyDescent="0.25">
      <c r="A112" s="128" t="s">
        <v>85</v>
      </c>
      <c r="B112" s="128"/>
      <c r="C112" s="81" t="s">
        <v>18</v>
      </c>
      <c r="D112" s="81" t="s">
        <v>86</v>
      </c>
      <c r="E112" s="81"/>
      <c r="F112" s="81"/>
      <c r="G112" s="86">
        <f t="shared" ref="G112:J115" si="18">G113</f>
        <v>117.5</v>
      </c>
      <c r="H112" s="86">
        <f t="shared" si="18"/>
        <v>117.5</v>
      </c>
      <c r="I112" s="86">
        <f t="shared" si="18"/>
        <v>0</v>
      </c>
      <c r="J112" s="86">
        <f t="shared" si="18"/>
        <v>117.5</v>
      </c>
      <c r="O112" s="1">
        <f t="shared" si="13"/>
        <v>0</v>
      </c>
    </row>
    <row r="113" spans="1:15" s="10" customFormat="1" ht="15.75" customHeight="1" x14ac:dyDescent="0.25">
      <c r="A113" s="129" t="s">
        <v>275</v>
      </c>
      <c r="B113" s="129"/>
      <c r="C113" s="3" t="s">
        <v>18</v>
      </c>
      <c r="D113" s="3" t="s">
        <v>86</v>
      </c>
      <c r="E113" s="3" t="s">
        <v>540</v>
      </c>
      <c r="F113" s="78"/>
      <c r="G113" s="85">
        <f t="shared" si="18"/>
        <v>117.5</v>
      </c>
      <c r="H113" s="85">
        <f t="shared" si="18"/>
        <v>117.5</v>
      </c>
      <c r="I113" s="85">
        <f t="shared" si="18"/>
        <v>0</v>
      </c>
      <c r="J113" s="85">
        <f t="shared" si="18"/>
        <v>117.5</v>
      </c>
      <c r="O113" s="1">
        <f t="shared" si="13"/>
        <v>0</v>
      </c>
    </row>
    <row r="114" spans="1:15" s="1" customFormat="1" ht="51" customHeight="1" x14ac:dyDescent="0.25">
      <c r="A114" s="129" t="s">
        <v>541</v>
      </c>
      <c r="B114" s="129"/>
      <c r="C114" s="88" t="s">
        <v>18</v>
      </c>
      <c r="D114" s="88" t="s">
        <v>86</v>
      </c>
      <c r="E114" s="88" t="s">
        <v>542</v>
      </c>
      <c r="F114" s="89"/>
      <c r="G114" s="85">
        <f t="shared" si="18"/>
        <v>117.5</v>
      </c>
      <c r="H114" s="85">
        <f t="shared" si="18"/>
        <v>117.5</v>
      </c>
      <c r="I114" s="85">
        <f t="shared" si="18"/>
        <v>0</v>
      </c>
      <c r="J114" s="85">
        <f t="shared" si="18"/>
        <v>117.5</v>
      </c>
      <c r="O114" s="1">
        <f t="shared" si="13"/>
        <v>0</v>
      </c>
    </row>
    <row r="115" spans="1:15" s="1" customFormat="1" ht="28.5" customHeight="1" x14ac:dyDescent="0.25">
      <c r="A115" s="129" t="s">
        <v>87</v>
      </c>
      <c r="B115" s="129"/>
      <c r="C115" s="88" t="s">
        <v>18</v>
      </c>
      <c r="D115" s="88" t="s">
        <v>86</v>
      </c>
      <c r="E115" s="88" t="s">
        <v>574</v>
      </c>
      <c r="F115" s="88"/>
      <c r="G115" s="85">
        <f t="shared" si="18"/>
        <v>117.5</v>
      </c>
      <c r="H115" s="85">
        <f t="shared" si="18"/>
        <v>117.5</v>
      </c>
      <c r="I115" s="85">
        <f t="shared" si="18"/>
        <v>0</v>
      </c>
      <c r="J115" s="85">
        <f t="shared" si="18"/>
        <v>117.5</v>
      </c>
      <c r="O115" s="1">
        <f t="shared" si="13"/>
        <v>0</v>
      </c>
    </row>
    <row r="116" spans="1:15" s="1" customFormat="1" ht="16.5" customHeight="1" x14ac:dyDescent="0.25">
      <c r="A116" s="55"/>
      <c r="B116" s="84" t="s">
        <v>40</v>
      </c>
      <c r="C116" s="3" t="s">
        <v>18</v>
      </c>
      <c r="D116" s="3" t="s">
        <v>86</v>
      </c>
      <c r="E116" s="3" t="s">
        <v>574</v>
      </c>
      <c r="F116" s="3" t="s">
        <v>41</v>
      </c>
      <c r="G116" s="85">
        <f>[1]Свод!N136/1000</f>
        <v>117.5</v>
      </c>
      <c r="H116" s="85">
        <v>117.5</v>
      </c>
      <c r="I116" s="85"/>
      <c r="J116" s="85">
        <f>H116+I116</f>
        <v>117.5</v>
      </c>
      <c r="O116" s="1">
        <f t="shared" si="13"/>
        <v>0</v>
      </c>
    </row>
    <row r="117" spans="1:15" s="4" customFormat="1" ht="16.5" customHeight="1" x14ac:dyDescent="0.25">
      <c r="A117" s="132" t="s">
        <v>88</v>
      </c>
      <c r="B117" s="132"/>
      <c r="C117" s="79" t="s">
        <v>82</v>
      </c>
      <c r="D117" s="79"/>
      <c r="E117" s="79"/>
      <c r="F117" s="79"/>
      <c r="G117" s="80">
        <f t="shared" ref="G117:J118" si="19">G118</f>
        <v>20</v>
      </c>
      <c r="H117" s="80">
        <f t="shared" si="19"/>
        <v>20</v>
      </c>
      <c r="I117" s="80">
        <f t="shared" si="19"/>
        <v>0</v>
      </c>
      <c r="J117" s="80">
        <f t="shared" si="19"/>
        <v>0</v>
      </c>
      <c r="O117" s="1">
        <f t="shared" si="13"/>
        <v>0</v>
      </c>
    </row>
    <row r="118" spans="1:15" s="6" customFormat="1" ht="16.5" customHeight="1" x14ac:dyDescent="0.25">
      <c r="A118" s="128" t="s">
        <v>89</v>
      </c>
      <c r="B118" s="128"/>
      <c r="C118" s="81" t="s">
        <v>82</v>
      </c>
      <c r="D118" s="81" t="s">
        <v>51</v>
      </c>
      <c r="E118" s="81"/>
      <c r="F118" s="81"/>
      <c r="G118" s="86">
        <f t="shared" si="19"/>
        <v>20</v>
      </c>
      <c r="H118" s="86">
        <f t="shared" si="19"/>
        <v>20</v>
      </c>
      <c r="I118" s="86">
        <f t="shared" si="19"/>
        <v>0</v>
      </c>
      <c r="J118" s="86">
        <f t="shared" si="19"/>
        <v>0</v>
      </c>
      <c r="O118" s="1">
        <f t="shared" si="13"/>
        <v>0</v>
      </c>
    </row>
    <row r="119" spans="1:15" s="1" customFormat="1" ht="17.25" customHeight="1" x14ac:dyDescent="0.25">
      <c r="A119" s="129" t="s">
        <v>545</v>
      </c>
      <c r="B119" s="129"/>
      <c r="C119" s="3" t="s">
        <v>82</v>
      </c>
      <c r="D119" s="3" t="s">
        <v>51</v>
      </c>
      <c r="E119" s="3" t="s">
        <v>244</v>
      </c>
      <c r="F119" s="3"/>
      <c r="G119" s="85">
        <f>G120+G122</f>
        <v>20</v>
      </c>
      <c r="H119" s="85">
        <f>H120+H122</f>
        <v>20</v>
      </c>
      <c r="I119" s="85">
        <f>I120+I122</f>
        <v>0</v>
      </c>
      <c r="J119" s="85">
        <f>J120+J122</f>
        <v>0</v>
      </c>
      <c r="O119" s="1">
        <f t="shared" si="13"/>
        <v>0</v>
      </c>
    </row>
    <row r="120" spans="1:15" s="1" customFormat="1" ht="16.5" customHeight="1" x14ac:dyDescent="0.25">
      <c r="A120" s="129" t="s">
        <v>575</v>
      </c>
      <c r="B120" s="129"/>
      <c r="C120" s="3" t="s">
        <v>82</v>
      </c>
      <c r="D120" s="3" t="s">
        <v>51</v>
      </c>
      <c r="E120" s="3" t="s">
        <v>576</v>
      </c>
      <c r="F120" s="3"/>
      <c r="G120" s="85">
        <f>G121</f>
        <v>20</v>
      </c>
      <c r="H120" s="85">
        <f>H121</f>
        <v>20</v>
      </c>
      <c r="I120" s="85">
        <f>I121</f>
        <v>0</v>
      </c>
      <c r="J120" s="85">
        <f>J121</f>
        <v>0</v>
      </c>
      <c r="O120" s="1">
        <f t="shared" si="13"/>
        <v>0</v>
      </c>
    </row>
    <row r="121" spans="1:15" s="1" customFormat="1" ht="18" customHeight="1" x14ac:dyDescent="0.25">
      <c r="A121" s="55"/>
      <c r="B121" s="59" t="s">
        <v>90</v>
      </c>
      <c r="C121" s="3" t="s">
        <v>82</v>
      </c>
      <c r="D121" s="3" t="s">
        <v>51</v>
      </c>
      <c r="E121" s="3" t="s">
        <v>576</v>
      </c>
      <c r="F121" s="3" t="s">
        <v>91</v>
      </c>
      <c r="G121" s="85">
        <f>[1]Свод!J562/1000</f>
        <v>20</v>
      </c>
      <c r="H121" s="85">
        <v>20</v>
      </c>
      <c r="I121" s="85"/>
      <c r="J121" s="85">
        <f>H121+I121-20</f>
        <v>0</v>
      </c>
      <c r="K121" s="1">
        <v>-20</v>
      </c>
      <c r="O121" s="1">
        <f t="shared" si="13"/>
        <v>0</v>
      </c>
    </row>
    <row r="122" spans="1:15" s="1" customFormat="1" ht="3.75" customHeight="1" x14ac:dyDescent="0.25">
      <c r="A122" s="55"/>
      <c r="B122" s="59"/>
      <c r="C122" s="3"/>
      <c r="D122" s="3"/>
      <c r="E122" s="3"/>
      <c r="F122" s="3"/>
      <c r="G122" s="90"/>
      <c r="H122" s="90"/>
      <c r="I122" s="90"/>
      <c r="J122" s="85">
        <f>H122+I122</f>
        <v>0</v>
      </c>
      <c r="O122" s="1">
        <f t="shared" si="13"/>
        <v>0</v>
      </c>
    </row>
    <row r="123" spans="1:15" s="4" customFormat="1" ht="16.5" customHeight="1" x14ac:dyDescent="0.25">
      <c r="A123" s="132" t="s">
        <v>92</v>
      </c>
      <c r="B123" s="132"/>
      <c r="C123" s="79" t="s">
        <v>93</v>
      </c>
      <c r="D123" s="79"/>
      <c r="E123" s="79"/>
      <c r="F123" s="79"/>
      <c r="G123" s="80" t="e">
        <f>G124+G151+G241+G245</f>
        <v>#REF!</v>
      </c>
      <c r="H123" s="80">
        <f>H124+H151+H241+H245</f>
        <v>106870.6</v>
      </c>
      <c r="I123" s="80">
        <f>I124+I151+I241+I245</f>
        <v>4520.2709999999997</v>
      </c>
      <c r="J123" s="80">
        <f>J124+J151+J241+J245</f>
        <v>109326.575</v>
      </c>
      <c r="O123" s="1">
        <f t="shared" si="13"/>
        <v>0</v>
      </c>
    </row>
    <row r="124" spans="1:15" s="6" customFormat="1" ht="15" customHeight="1" x14ac:dyDescent="0.25">
      <c r="A124" s="128" t="s">
        <v>94</v>
      </c>
      <c r="B124" s="128"/>
      <c r="C124" s="81" t="s">
        <v>93</v>
      </c>
      <c r="D124" s="81" t="s">
        <v>6</v>
      </c>
      <c r="E124" s="81"/>
      <c r="F124" s="81"/>
      <c r="G124" s="86">
        <f>G128+G142</f>
        <v>14368.779951343</v>
      </c>
      <c r="H124" s="86">
        <f>H125+H128+H142</f>
        <v>15668.8</v>
      </c>
      <c r="I124" s="86">
        <f>I125+I128+I142</f>
        <v>217.6</v>
      </c>
      <c r="J124" s="86">
        <f>J125+J128+J142</f>
        <v>15586.994999999999</v>
      </c>
      <c r="O124" s="1">
        <f t="shared" si="13"/>
        <v>0</v>
      </c>
    </row>
    <row r="125" spans="1:15" s="1" customFormat="1" ht="15.75" customHeight="1" x14ac:dyDescent="0.25">
      <c r="A125" s="129" t="s">
        <v>26</v>
      </c>
      <c r="B125" s="129"/>
      <c r="C125" s="3" t="s">
        <v>93</v>
      </c>
      <c r="D125" s="3" t="s">
        <v>6</v>
      </c>
      <c r="E125" s="3" t="s">
        <v>28</v>
      </c>
      <c r="F125" s="3"/>
      <c r="G125" s="85">
        <f>G126+G128</f>
        <v>14266.455791343002</v>
      </c>
      <c r="H125" s="85">
        <f t="shared" ref="H125:J126" si="20">H126</f>
        <v>500</v>
      </c>
      <c r="I125" s="85">
        <f t="shared" si="20"/>
        <v>0</v>
      </c>
      <c r="J125" s="85">
        <f t="shared" si="20"/>
        <v>500</v>
      </c>
      <c r="O125" s="1">
        <f t="shared" si="13"/>
        <v>0</v>
      </c>
    </row>
    <row r="126" spans="1:15" s="1" customFormat="1" ht="25.5" customHeight="1" x14ac:dyDescent="0.25">
      <c r="A126" s="129" t="s">
        <v>557</v>
      </c>
      <c r="B126" s="129"/>
      <c r="C126" s="3" t="s">
        <v>93</v>
      </c>
      <c r="D126" s="3" t="s">
        <v>6</v>
      </c>
      <c r="E126" s="3" t="s">
        <v>558</v>
      </c>
      <c r="F126" s="3"/>
      <c r="G126" s="85">
        <f>G127</f>
        <v>443.48599999999999</v>
      </c>
      <c r="H126" s="85">
        <f t="shared" si="20"/>
        <v>500</v>
      </c>
      <c r="I126" s="85">
        <f t="shared" si="20"/>
        <v>0</v>
      </c>
      <c r="J126" s="85">
        <f t="shared" si="20"/>
        <v>500</v>
      </c>
      <c r="O126" s="1">
        <f t="shared" si="13"/>
        <v>0</v>
      </c>
    </row>
    <row r="127" spans="1:15" s="1" customFormat="1" ht="15.75" customHeight="1" x14ac:dyDescent="0.25">
      <c r="A127" s="55"/>
      <c r="B127" s="59" t="s">
        <v>31</v>
      </c>
      <c r="C127" s="3" t="s">
        <v>93</v>
      </c>
      <c r="D127" s="3" t="s">
        <v>6</v>
      </c>
      <c r="E127" s="3" t="s">
        <v>558</v>
      </c>
      <c r="F127" s="3" t="s">
        <v>32</v>
      </c>
      <c r="G127" s="85">
        <v>443.48599999999999</v>
      </c>
      <c r="H127" s="85">
        <v>500</v>
      </c>
      <c r="I127" s="85"/>
      <c r="J127" s="85">
        <f>I127+H127</f>
        <v>500</v>
      </c>
      <c r="O127" s="1">
        <f t="shared" si="13"/>
        <v>0</v>
      </c>
    </row>
    <row r="128" spans="1:15" s="1" customFormat="1" ht="17.25" customHeight="1" x14ac:dyDescent="0.25">
      <c r="A128" s="129" t="s">
        <v>95</v>
      </c>
      <c r="B128" s="129"/>
      <c r="C128" s="3" t="s">
        <v>93</v>
      </c>
      <c r="D128" s="3" t="s">
        <v>6</v>
      </c>
      <c r="E128" s="3" t="s">
        <v>96</v>
      </c>
      <c r="F128" s="3"/>
      <c r="G128" s="85">
        <f>G129</f>
        <v>13822.969791343001</v>
      </c>
      <c r="H128" s="85">
        <f>H129</f>
        <v>14623</v>
      </c>
      <c r="I128" s="85">
        <f>I129</f>
        <v>-12.4</v>
      </c>
      <c r="J128" s="85">
        <f>J129</f>
        <v>13472.394999999999</v>
      </c>
      <c r="O128" s="1">
        <f t="shared" si="13"/>
        <v>0</v>
      </c>
    </row>
    <row r="129" spans="1:15" s="1" customFormat="1" ht="17.25" customHeight="1" x14ac:dyDescent="0.25">
      <c r="A129" s="129" t="s">
        <v>97</v>
      </c>
      <c r="B129" s="129"/>
      <c r="C129" s="3" t="s">
        <v>93</v>
      </c>
      <c r="D129" s="3" t="s">
        <v>6</v>
      </c>
      <c r="E129" s="3" t="s">
        <v>98</v>
      </c>
      <c r="F129" s="3"/>
      <c r="G129" s="85">
        <f>G130+G132+G134+G136+G138</f>
        <v>13822.969791343001</v>
      </c>
      <c r="H129" s="85">
        <f>H130+H132+H134+H136+H138+H140</f>
        <v>14623</v>
      </c>
      <c r="I129" s="85">
        <f>I130+I132+I134+I136+I138+I140</f>
        <v>-12.4</v>
      </c>
      <c r="J129" s="85">
        <f>J130+J132+J134+J136+J138+J140</f>
        <v>13472.394999999999</v>
      </c>
      <c r="O129" s="1">
        <f t="shared" si="13"/>
        <v>0</v>
      </c>
    </row>
    <row r="130" spans="1:15" s="1" customFormat="1" ht="15.75" customHeight="1" x14ac:dyDescent="0.25">
      <c r="A130" s="129" t="s">
        <v>99</v>
      </c>
      <c r="B130" s="129"/>
      <c r="C130" s="3" t="s">
        <v>93</v>
      </c>
      <c r="D130" s="3" t="s">
        <v>6</v>
      </c>
      <c r="E130" s="3" t="s">
        <v>100</v>
      </c>
      <c r="F130" s="3"/>
      <c r="G130" s="85">
        <f>G131</f>
        <v>10837.073791343</v>
      </c>
      <c r="H130" s="85">
        <f>H131</f>
        <v>10837.1</v>
      </c>
      <c r="I130" s="85">
        <f>I131</f>
        <v>0</v>
      </c>
      <c r="J130" s="85">
        <f>J131</f>
        <v>9800.387999999999</v>
      </c>
      <c r="O130" s="1">
        <f t="shared" si="13"/>
        <v>0</v>
      </c>
    </row>
    <row r="131" spans="1:15" s="1" customFormat="1" ht="15.75" customHeight="1" x14ac:dyDescent="0.25">
      <c r="A131" s="55"/>
      <c r="B131" s="59" t="s">
        <v>101</v>
      </c>
      <c r="C131" s="3" t="s">
        <v>93</v>
      </c>
      <c r="D131" s="3" t="s">
        <v>6</v>
      </c>
      <c r="E131" s="3" t="s">
        <v>100</v>
      </c>
      <c r="F131" s="3" t="s">
        <v>102</v>
      </c>
      <c r="G131" s="85">
        <f>[1]Свод!K855/1000</f>
        <v>10837.073791343</v>
      </c>
      <c r="H131" s="85">
        <v>10837.1</v>
      </c>
      <c r="I131" s="85"/>
      <c r="J131" s="85">
        <f>H131+I131-528.5-522.646+14.434</f>
        <v>9800.387999999999</v>
      </c>
      <c r="K131" s="1">
        <v>-528.5</v>
      </c>
      <c r="N131" s="11">
        <f>J131+K131</f>
        <v>9271.887999999999</v>
      </c>
      <c r="O131" s="1">
        <f t="shared" si="13"/>
        <v>470.08472159999997</v>
      </c>
    </row>
    <row r="132" spans="1:15" s="1" customFormat="1" ht="14.25" customHeight="1" x14ac:dyDescent="0.25">
      <c r="A132" s="129" t="s">
        <v>103</v>
      </c>
      <c r="B132" s="129"/>
      <c r="C132" s="88" t="s">
        <v>93</v>
      </c>
      <c r="D132" s="88" t="s">
        <v>6</v>
      </c>
      <c r="E132" s="88" t="s">
        <v>104</v>
      </c>
      <c r="F132" s="3"/>
      <c r="G132" s="85">
        <f>G133</f>
        <v>2236.5</v>
      </c>
      <c r="H132" s="85">
        <f>H133</f>
        <v>2236.5</v>
      </c>
      <c r="I132" s="85">
        <f>I133</f>
        <v>0</v>
      </c>
      <c r="J132" s="85">
        <f>J133</f>
        <v>2063.114</v>
      </c>
      <c r="N132" s="11"/>
      <c r="O132" s="1">
        <f t="shared" si="13"/>
        <v>0</v>
      </c>
    </row>
    <row r="133" spans="1:15" s="1" customFormat="1" ht="18" customHeight="1" x14ac:dyDescent="0.25">
      <c r="A133" s="55"/>
      <c r="B133" s="59" t="s">
        <v>101</v>
      </c>
      <c r="C133" s="3" t="s">
        <v>93</v>
      </c>
      <c r="D133" s="3" t="s">
        <v>6</v>
      </c>
      <c r="E133" s="3" t="s">
        <v>104</v>
      </c>
      <c r="F133" s="3" t="s">
        <v>102</v>
      </c>
      <c r="G133" s="85">
        <f>[1]Свод!K922/1000</f>
        <v>2236.5</v>
      </c>
      <c r="H133" s="85">
        <v>2236.5</v>
      </c>
      <c r="I133" s="85"/>
      <c r="J133" s="85">
        <f>H133+I133-63.2-110.186</f>
        <v>2063.114</v>
      </c>
      <c r="K133" s="1">
        <v>-63.2</v>
      </c>
      <c r="N133" s="11">
        <f t="shared" ref="N133" si="21">J133+K133</f>
        <v>1999.914</v>
      </c>
      <c r="O133" s="1">
        <f t="shared" si="13"/>
        <v>101.39563980000001</v>
      </c>
    </row>
    <row r="134" spans="1:15" s="1" customFormat="1" ht="17.25" customHeight="1" x14ac:dyDescent="0.25">
      <c r="A134" s="129" t="s">
        <v>105</v>
      </c>
      <c r="B134" s="129"/>
      <c r="C134" s="88" t="s">
        <v>93</v>
      </c>
      <c r="D134" s="88" t="s">
        <v>6</v>
      </c>
      <c r="E134" s="88" t="s">
        <v>106</v>
      </c>
      <c r="F134" s="3"/>
      <c r="G134" s="85">
        <f>G135</f>
        <v>500</v>
      </c>
      <c r="H134" s="85">
        <f>H135</f>
        <v>500</v>
      </c>
      <c r="I134" s="85">
        <f>I135</f>
        <v>0</v>
      </c>
      <c r="J134" s="85">
        <f>J135</f>
        <v>500</v>
      </c>
      <c r="O134" s="1">
        <f t="shared" si="13"/>
        <v>0</v>
      </c>
    </row>
    <row r="135" spans="1:15" s="1" customFormat="1" ht="18" customHeight="1" x14ac:dyDescent="0.25">
      <c r="A135" s="55"/>
      <c r="B135" s="59" t="s">
        <v>101</v>
      </c>
      <c r="C135" s="3" t="s">
        <v>93</v>
      </c>
      <c r="D135" s="3" t="s">
        <v>6</v>
      </c>
      <c r="E135" s="3" t="s">
        <v>106</v>
      </c>
      <c r="F135" s="3" t="s">
        <v>102</v>
      </c>
      <c r="G135" s="85">
        <f>[1]Свод!K887/1000</f>
        <v>500</v>
      </c>
      <c r="H135" s="85">
        <v>500</v>
      </c>
      <c r="I135" s="85"/>
      <c r="J135" s="85">
        <f>H135+I135</f>
        <v>500</v>
      </c>
      <c r="N135" s="11"/>
      <c r="O135" s="1">
        <f t="shared" si="13"/>
        <v>0</v>
      </c>
    </row>
    <row r="136" spans="1:15" s="1" customFormat="1" ht="17.25" customHeight="1" x14ac:dyDescent="0.25">
      <c r="A136" s="129" t="s">
        <v>107</v>
      </c>
      <c r="B136" s="129"/>
      <c r="C136" s="88" t="s">
        <v>93</v>
      </c>
      <c r="D136" s="88" t="s">
        <v>6</v>
      </c>
      <c r="E136" s="88" t="s">
        <v>108</v>
      </c>
      <c r="F136" s="3"/>
      <c r="G136" s="85">
        <f>G137</f>
        <v>51</v>
      </c>
      <c r="H136" s="85">
        <f>H137</f>
        <v>51</v>
      </c>
      <c r="I136" s="85">
        <f>I137</f>
        <v>0</v>
      </c>
      <c r="J136" s="85">
        <f>J137</f>
        <v>51</v>
      </c>
      <c r="O136" s="1">
        <f t="shared" si="13"/>
        <v>0</v>
      </c>
    </row>
    <row r="137" spans="1:15" s="1" customFormat="1" ht="18" customHeight="1" x14ac:dyDescent="0.25">
      <c r="A137" s="55"/>
      <c r="B137" s="59" t="s">
        <v>101</v>
      </c>
      <c r="C137" s="3" t="s">
        <v>93</v>
      </c>
      <c r="D137" s="3" t="s">
        <v>6</v>
      </c>
      <c r="E137" s="3" t="s">
        <v>108</v>
      </c>
      <c r="F137" s="3" t="s">
        <v>102</v>
      </c>
      <c r="G137" s="85">
        <f>[1]Свод!K954/1000</f>
        <v>51</v>
      </c>
      <c r="H137" s="85">
        <v>51</v>
      </c>
      <c r="I137" s="85"/>
      <c r="J137" s="85">
        <f>H137+I137</f>
        <v>51</v>
      </c>
      <c r="O137" s="1">
        <f t="shared" si="13"/>
        <v>0</v>
      </c>
    </row>
    <row r="138" spans="1:15" s="1" customFormat="1" ht="27" customHeight="1" x14ac:dyDescent="0.25">
      <c r="A138" s="129" t="s">
        <v>109</v>
      </c>
      <c r="B138" s="129"/>
      <c r="C138" s="3" t="s">
        <v>93</v>
      </c>
      <c r="D138" s="3" t="s">
        <v>6</v>
      </c>
      <c r="E138" s="3" t="s">
        <v>110</v>
      </c>
      <c r="F138" s="3"/>
      <c r="G138" s="85">
        <f>G139</f>
        <v>198.39599999999999</v>
      </c>
      <c r="H138" s="85">
        <f>H139</f>
        <v>198.4</v>
      </c>
      <c r="I138" s="85">
        <f>I139</f>
        <v>-12.4</v>
      </c>
      <c r="J138" s="85">
        <f>J139</f>
        <v>174</v>
      </c>
      <c r="O138" s="1">
        <f t="shared" si="13"/>
        <v>0</v>
      </c>
    </row>
    <row r="139" spans="1:15" s="1" customFormat="1" ht="16.5" customHeight="1" x14ac:dyDescent="0.25">
      <c r="A139" s="55"/>
      <c r="B139" s="59" t="s">
        <v>101</v>
      </c>
      <c r="C139" s="3" t="s">
        <v>93</v>
      </c>
      <c r="D139" s="3" t="s">
        <v>6</v>
      </c>
      <c r="E139" s="3" t="s">
        <v>110</v>
      </c>
      <c r="F139" s="3" t="s">
        <v>102</v>
      </c>
      <c r="G139" s="85">
        <f>[1]Свод!K823/1000</f>
        <v>198.39599999999999</v>
      </c>
      <c r="H139" s="85">
        <v>198.4</v>
      </c>
      <c r="I139" s="85">
        <v>-12.4</v>
      </c>
      <c r="J139" s="85">
        <f>H139+I139-12</f>
        <v>174</v>
      </c>
      <c r="K139" s="1">
        <v>-12</v>
      </c>
      <c r="O139" s="1">
        <f t="shared" si="13"/>
        <v>0</v>
      </c>
    </row>
    <row r="140" spans="1:15" s="1" customFormat="1" ht="27" customHeight="1" x14ac:dyDescent="0.25">
      <c r="A140" s="129" t="s">
        <v>577</v>
      </c>
      <c r="B140" s="129"/>
      <c r="C140" s="3" t="s">
        <v>93</v>
      </c>
      <c r="D140" s="3" t="s">
        <v>6</v>
      </c>
      <c r="E140" s="3" t="s">
        <v>578</v>
      </c>
      <c r="F140" s="3"/>
      <c r="G140" s="85">
        <f>G141</f>
        <v>0</v>
      </c>
      <c r="H140" s="85">
        <f>H141</f>
        <v>800</v>
      </c>
      <c r="I140" s="85">
        <f>I141</f>
        <v>0</v>
      </c>
      <c r="J140" s="85">
        <f>J141</f>
        <v>883.89300000000003</v>
      </c>
      <c r="O140" s="1">
        <f t="shared" si="13"/>
        <v>0</v>
      </c>
    </row>
    <row r="141" spans="1:15" s="1" customFormat="1" ht="16.5" customHeight="1" x14ac:dyDescent="0.25">
      <c r="A141" s="55"/>
      <c r="B141" s="59" t="s">
        <v>101</v>
      </c>
      <c r="C141" s="3" t="s">
        <v>93</v>
      </c>
      <c r="D141" s="3" t="s">
        <v>6</v>
      </c>
      <c r="E141" s="3" t="s">
        <v>578</v>
      </c>
      <c r="F141" s="3" t="s">
        <v>102</v>
      </c>
      <c r="G141" s="85">
        <v>0</v>
      </c>
      <c r="H141" s="85">
        <v>800</v>
      </c>
      <c r="I141" s="85"/>
      <c r="J141" s="85">
        <f>H141+I141+131.1-47.207</f>
        <v>883.89300000000003</v>
      </c>
      <c r="K141" s="1">
        <v>131.1</v>
      </c>
      <c r="N141" s="11">
        <f>J141+K141</f>
        <v>1014.9930000000001</v>
      </c>
      <c r="O141" s="1">
        <f t="shared" ref="O141:O204" si="22">N141*5.07/100</f>
        <v>51.460145100000005</v>
      </c>
    </row>
    <row r="142" spans="1:15" s="2" customFormat="1" ht="15.75" customHeight="1" x14ac:dyDescent="0.25">
      <c r="A142" s="129" t="s">
        <v>275</v>
      </c>
      <c r="B142" s="129"/>
      <c r="C142" s="88" t="s">
        <v>93</v>
      </c>
      <c r="D142" s="88" t="s">
        <v>6</v>
      </c>
      <c r="E142" s="88" t="s">
        <v>579</v>
      </c>
      <c r="F142" s="88"/>
      <c r="G142" s="63">
        <f>G146</f>
        <v>545.81016</v>
      </c>
      <c r="H142" s="63">
        <f>H146</f>
        <v>545.79999999999995</v>
      </c>
      <c r="I142" s="63">
        <f>I146</f>
        <v>230</v>
      </c>
      <c r="J142" s="63">
        <f>J143+J146</f>
        <v>1614.6</v>
      </c>
      <c r="O142" s="1">
        <f t="shared" si="22"/>
        <v>0</v>
      </c>
    </row>
    <row r="143" spans="1:15" s="2" customFormat="1" ht="40.5" customHeight="1" x14ac:dyDescent="0.25">
      <c r="A143" s="137" t="s">
        <v>677</v>
      </c>
      <c r="B143" s="138"/>
      <c r="C143" s="88" t="s">
        <v>93</v>
      </c>
      <c r="D143" s="88" t="s">
        <v>6</v>
      </c>
      <c r="E143" s="88" t="s">
        <v>678</v>
      </c>
      <c r="F143" s="88"/>
      <c r="G143" s="63"/>
      <c r="H143" s="63"/>
      <c r="I143" s="63"/>
      <c r="J143" s="63">
        <f>J144</f>
        <v>838.8</v>
      </c>
      <c r="O143" s="1">
        <f t="shared" si="22"/>
        <v>0</v>
      </c>
    </row>
    <row r="144" spans="1:15" s="2" customFormat="1" ht="39" customHeight="1" x14ac:dyDescent="0.25">
      <c r="A144" s="137" t="s">
        <v>679</v>
      </c>
      <c r="B144" s="138"/>
      <c r="C144" s="88" t="s">
        <v>93</v>
      </c>
      <c r="D144" s="88" t="s">
        <v>6</v>
      </c>
      <c r="E144" s="88" t="s">
        <v>680</v>
      </c>
      <c r="F144" s="88"/>
      <c r="G144" s="63"/>
      <c r="H144" s="63"/>
      <c r="I144" s="63"/>
      <c r="J144" s="63">
        <f>J145</f>
        <v>838.8</v>
      </c>
      <c r="O144" s="1">
        <f t="shared" si="22"/>
        <v>0</v>
      </c>
    </row>
    <row r="145" spans="1:15" s="2" customFormat="1" ht="15.75" customHeight="1" x14ac:dyDescent="0.25">
      <c r="A145" s="84"/>
      <c r="B145" s="59" t="s">
        <v>101</v>
      </c>
      <c r="C145" s="88" t="s">
        <v>93</v>
      </c>
      <c r="D145" s="88" t="s">
        <v>6</v>
      </c>
      <c r="E145" s="88" t="s">
        <v>680</v>
      </c>
      <c r="F145" s="88" t="s">
        <v>102</v>
      </c>
      <c r="G145" s="63"/>
      <c r="H145" s="63"/>
      <c r="I145" s="63"/>
      <c r="J145" s="63">
        <v>838.8</v>
      </c>
      <c r="O145" s="1">
        <f t="shared" si="22"/>
        <v>0</v>
      </c>
    </row>
    <row r="146" spans="1:15" s="1" customFormat="1" ht="54" customHeight="1" x14ac:dyDescent="0.25">
      <c r="A146" s="129" t="s">
        <v>541</v>
      </c>
      <c r="B146" s="129"/>
      <c r="C146" s="3" t="s">
        <v>93</v>
      </c>
      <c r="D146" s="3" t="s">
        <v>6</v>
      </c>
      <c r="E146" s="3" t="s">
        <v>542</v>
      </c>
      <c r="F146" s="3"/>
      <c r="G146" s="85">
        <f>G147+G149</f>
        <v>545.81016</v>
      </c>
      <c r="H146" s="85">
        <f>H147+H149</f>
        <v>545.79999999999995</v>
      </c>
      <c r="I146" s="85">
        <f>I147+I149</f>
        <v>230</v>
      </c>
      <c r="J146" s="85">
        <f>J147+J149</f>
        <v>775.8</v>
      </c>
      <c r="O146" s="1">
        <f t="shared" si="22"/>
        <v>0</v>
      </c>
    </row>
    <row r="147" spans="1:15" s="1" customFormat="1" ht="40.5" customHeight="1" x14ac:dyDescent="0.25">
      <c r="A147" s="129" t="s">
        <v>580</v>
      </c>
      <c r="B147" s="129"/>
      <c r="C147" s="3" t="s">
        <v>93</v>
      </c>
      <c r="D147" s="3" t="s">
        <v>6</v>
      </c>
      <c r="E147" s="3" t="s">
        <v>581</v>
      </c>
      <c r="F147" s="3"/>
      <c r="G147" s="85">
        <f>G148</f>
        <v>12</v>
      </c>
      <c r="H147" s="85">
        <f>H148</f>
        <v>12</v>
      </c>
      <c r="I147" s="85">
        <f>I148</f>
        <v>0</v>
      </c>
      <c r="J147" s="85">
        <f>J148</f>
        <v>12</v>
      </c>
      <c r="O147" s="1">
        <f t="shared" si="22"/>
        <v>0</v>
      </c>
    </row>
    <row r="148" spans="1:15" s="1" customFormat="1" ht="16.5" customHeight="1" x14ac:dyDescent="0.25">
      <c r="A148" s="55"/>
      <c r="B148" s="59" t="s">
        <v>101</v>
      </c>
      <c r="C148" s="3" t="s">
        <v>93</v>
      </c>
      <c r="D148" s="3" t="s">
        <v>6</v>
      </c>
      <c r="E148" s="3" t="s">
        <v>581</v>
      </c>
      <c r="F148" s="3" t="s">
        <v>102</v>
      </c>
      <c r="G148" s="85">
        <f>[1]Свод!K693/1000</f>
        <v>12</v>
      </c>
      <c r="H148" s="85">
        <v>12</v>
      </c>
      <c r="I148" s="85"/>
      <c r="J148" s="85">
        <f>H148+I148</f>
        <v>12</v>
      </c>
      <c r="O148" s="1">
        <f t="shared" si="22"/>
        <v>0</v>
      </c>
    </row>
    <row r="149" spans="1:15" s="1" customFormat="1" ht="64.5" customHeight="1" x14ac:dyDescent="0.25">
      <c r="A149" s="129" t="s">
        <v>582</v>
      </c>
      <c r="B149" s="129"/>
      <c r="C149" s="3" t="s">
        <v>93</v>
      </c>
      <c r="D149" s="3" t="s">
        <v>6</v>
      </c>
      <c r="E149" s="3" t="s">
        <v>583</v>
      </c>
      <c r="F149" s="3"/>
      <c r="G149" s="85">
        <f>G150</f>
        <v>533.81016</v>
      </c>
      <c r="H149" s="85">
        <f>H150</f>
        <v>533.79999999999995</v>
      </c>
      <c r="I149" s="85">
        <f>I150</f>
        <v>230</v>
      </c>
      <c r="J149" s="85">
        <f>J150</f>
        <v>763.8</v>
      </c>
      <c r="O149" s="1">
        <f t="shared" si="22"/>
        <v>0</v>
      </c>
    </row>
    <row r="150" spans="1:15" s="1" customFormat="1" ht="16.5" customHeight="1" x14ac:dyDescent="0.25">
      <c r="A150" s="55"/>
      <c r="B150" s="59" t="s">
        <v>101</v>
      </c>
      <c r="C150" s="3" t="s">
        <v>93</v>
      </c>
      <c r="D150" s="3" t="s">
        <v>6</v>
      </c>
      <c r="E150" s="3" t="s">
        <v>583</v>
      </c>
      <c r="F150" s="3" t="s">
        <v>102</v>
      </c>
      <c r="G150" s="85">
        <f>[1]Свод!K725/1000</f>
        <v>533.81016</v>
      </c>
      <c r="H150" s="85">
        <v>533.79999999999995</v>
      </c>
      <c r="I150" s="85">
        <v>230</v>
      </c>
      <c r="J150" s="85">
        <f>H150+I150</f>
        <v>763.8</v>
      </c>
      <c r="O150" s="1">
        <f t="shared" si="22"/>
        <v>0</v>
      </c>
    </row>
    <row r="151" spans="1:15" s="6" customFormat="1" ht="15" customHeight="1" x14ac:dyDescent="0.25">
      <c r="A151" s="128" t="s">
        <v>111</v>
      </c>
      <c r="B151" s="128"/>
      <c r="C151" s="81" t="s">
        <v>93</v>
      </c>
      <c r="D151" s="81" t="s">
        <v>51</v>
      </c>
      <c r="E151" s="81"/>
      <c r="F151" s="81"/>
      <c r="G151" s="86" t="e">
        <f>G152+G156+G200+G226+#REF!+G229</f>
        <v>#REF!</v>
      </c>
      <c r="H151" s="86">
        <f>H152+H156+H200+H214+H226+H229+H237</f>
        <v>84269.6</v>
      </c>
      <c r="I151" s="86">
        <f>I152+I156+I200+I214+I226+I229+I237</f>
        <v>1823.768</v>
      </c>
      <c r="J151" s="86">
        <f>J152+J156+J200+J214+J226+J229+J237</f>
        <v>84863.017000000007</v>
      </c>
      <c r="O151" s="1">
        <f t="shared" si="22"/>
        <v>0</v>
      </c>
    </row>
    <row r="152" spans="1:15" s="1" customFormat="1" ht="27" customHeight="1" x14ac:dyDescent="0.25">
      <c r="A152" s="135" t="s">
        <v>112</v>
      </c>
      <c r="B152" s="135"/>
      <c r="C152" s="3" t="s">
        <v>93</v>
      </c>
      <c r="D152" s="3" t="s">
        <v>51</v>
      </c>
      <c r="E152" s="3" t="s">
        <v>113</v>
      </c>
      <c r="F152" s="3"/>
      <c r="G152" s="85">
        <f t="shared" ref="G152:J154" si="23">G153</f>
        <v>265</v>
      </c>
      <c r="H152" s="85">
        <f t="shared" si="23"/>
        <v>565</v>
      </c>
      <c r="I152" s="85">
        <f t="shared" si="23"/>
        <v>0</v>
      </c>
      <c r="J152" s="85">
        <f t="shared" si="23"/>
        <v>500</v>
      </c>
      <c r="O152" s="1">
        <f t="shared" si="22"/>
        <v>0</v>
      </c>
    </row>
    <row r="153" spans="1:15" s="1" customFormat="1" ht="41.25" customHeight="1" x14ac:dyDescent="0.25">
      <c r="A153" s="135" t="s">
        <v>114</v>
      </c>
      <c r="B153" s="135"/>
      <c r="C153" s="3" t="s">
        <v>93</v>
      </c>
      <c r="D153" s="3" t="s">
        <v>51</v>
      </c>
      <c r="E153" s="3" t="s">
        <v>115</v>
      </c>
      <c r="F153" s="3"/>
      <c r="G153" s="85">
        <f t="shared" si="23"/>
        <v>265</v>
      </c>
      <c r="H153" s="85">
        <f t="shared" si="23"/>
        <v>565</v>
      </c>
      <c r="I153" s="85">
        <f t="shared" si="23"/>
        <v>0</v>
      </c>
      <c r="J153" s="85">
        <f t="shared" si="23"/>
        <v>500</v>
      </c>
      <c r="O153" s="1">
        <f t="shared" si="22"/>
        <v>0</v>
      </c>
    </row>
    <row r="154" spans="1:15" s="2" customFormat="1" ht="26.25" customHeight="1" x14ac:dyDescent="0.25">
      <c r="A154" s="136" t="s">
        <v>116</v>
      </c>
      <c r="B154" s="136"/>
      <c r="C154" s="88" t="s">
        <v>93</v>
      </c>
      <c r="D154" s="88" t="s">
        <v>51</v>
      </c>
      <c r="E154" s="88" t="s">
        <v>117</v>
      </c>
      <c r="F154" s="88"/>
      <c r="G154" s="63">
        <f t="shared" si="23"/>
        <v>265</v>
      </c>
      <c r="H154" s="63">
        <f t="shared" si="23"/>
        <v>565</v>
      </c>
      <c r="I154" s="63">
        <f t="shared" si="23"/>
        <v>0</v>
      </c>
      <c r="J154" s="63">
        <f t="shared" si="23"/>
        <v>500</v>
      </c>
      <c r="O154" s="1">
        <f t="shared" si="22"/>
        <v>0</v>
      </c>
    </row>
    <row r="155" spans="1:15" s="1" customFormat="1" ht="15" customHeight="1" x14ac:dyDescent="0.25">
      <c r="A155" s="84"/>
      <c r="B155" s="84" t="s">
        <v>90</v>
      </c>
      <c r="C155" s="88" t="s">
        <v>93</v>
      </c>
      <c r="D155" s="88" t="s">
        <v>51</v>
      </c>
      <c r="E155" s="88" t="s">
        <v>117</v>
      </c>
      <c r="F155" s="88" t="s">
        <v>91</v>
      </c>
      <c r="G155" s="85">
        <f>[1]Свод!S887/1000</f>
        <v>265</v>
      </c>
      <c r="H155" s="85">
        <v>565</v>
      </c>
      <c r="I155" s="85"/>
      <c r="J155" s="85">
        <f>H155+I155-65</f>
        <v>500</v>
      </c>
      <c r="O155" s="1">
        <f t="shared" si="22"/>
        <v>0</v>
      </c>
    </row>
    <row r="156" spans="1:15" s="1" customFormat="1" ht="17.25" customHeight="1" x14ac:dyDescent="0.25">
      <c r="A156" s="129" t="s">
        <v>118</v>
      </c>
      <c r="B156" s="129"/>
      <c r="C156" s="3" t="s">
        <v>93</v>
      </c>
      <c r="D156" s="3" t="s">
        <v>51</v>
      </c>
      <c r="E156" s="3" t="s">
        <v>119</v>
      </c>
      <c r="F156" s="3"/>
      <c r="G156" s="85">
        <f>G157</f>
        <v>14687.264504051403</v>
      </c>
      <c r="H156" s="85">
        <f>H157</f>
        <v>14254.6</v>
      </c>
      <c r="I156" s="85">
        <f>I157</f>
        <v>-1178.9000000000001</v>
      </c>
      <c r="J156" s="85">
        <f>J157</f>
        <v>12337.521000000001</v>
      </c>
      <c r="O156" s="1">
        <f t="shared" si="22"/>
        <v>0</v>
      </c>
    </row>
    <row r="157" spans="1:15" s="1" customFormat="1" ht="16.5" customHeight="1" x14ac:dyDescent="0.25">
      <c r="A157" s="129" t="s">
        <v>97</v>
      </c>
      <c r="B157" s="129"/>
      <c r="C157" s="88" t="s">
        <v>93</v>
      </c>
      <c r="D157" s="88" t="s">
        <v>51</v>
      </c>
      <c r="E157" s="88" t="s">
        <v>120</v>
      </c>
      <c r="F157" s="3"/>
      <c r="G157" s="85">
        <f>G158+G160+G162+G164+G166+G168+G170+G172+G174+G176+G178+G180+G182+G184+G186+G188+G190+G192+G194+G196+G198</f>
        <v>14687.264504051403</v>
      </c>
      <c r="H157" s="85">
        <f>H158+H160+H162+H164+H166+H168+H170+H172+H174+H176+H178+H180+H182+H184+H186+H188+H190+H192+H194+H196+H198</f>
        <v>14254.6</v>
      </c>
      <c r="I157" s="85">
        <f>I158+I160+I162+I164+I166+I168+I170+I172+I174+I176+I178+I180+I182+I184+I186+I188+I190+I192+I194+I196+I198</f>
        <v>-1178.9000000000001</v>
      </c>
      <c r="J157" s="85">
        <f>J158+J160+J162+J164+J166+J168+J170+J172+J174+J176+J178+J180+J182+J184+J186+J188+J190+J192+J194+J196+J198</f>
        <v>12337.521000000001</v>
      </c>
      <c r="O157" s="1">
        <f t="shared" si="22"/>
        <v>0</v>
      </c>
    </row>
    <row r="158" spans="1:15" s="1" customFormat="1" ht="18.75" customHeight="1" x14ac:dyDescent="0.25">
      <c r="A158" s="129" t="s">
        <v>121</v>
      </c>
      <c r="B158" s="129"/>
      <c r="C158" s="88" t="s">
        <v>93</v>
      </c>
      <c r="D158" s="88" t="s">
        <v>51</v>
      </c>
      <c r="E158" s="88" t="s">
        <v>122</v>
      </c>
      <c r="F158" s="3"/>
      <c r="G158" s="85">
        <f>G159</f>
        <v>5438.0357320490002</v>
      </c>
      <c r="H158" s="85">
        <f>H159</f>
        <v>6036.1</v>
      </c>
      <c r="I158" s="85">
        <f>I159</f>
        <v>-895.37400000000002</v>
      </c>
      <c r="J158" s="85">
        <f>J159</f>
        <v>4801.0140000000001</v>
      </c>
      <c r="O158" s="1">
        <f t="shared" si="22"/>
        <v>0</v>
      </c>
    </row>
    <row r="159" spans="1:15" s="1" customFormat="1" ht="17.25" customHeight="1" x14ac:dyDescent="0.25">
      <c r="A159" s="55"/>
      <c r="B159" s="59" t="s">
        <v>101</v>
      </c>
      <c r="C159" s="3" t="s">
        <v>93</v>
      </c>
      <c r="D159" s="3" t="s">
        <v>51</v>
      </c>
      <c r="E159" s="3" t="s">
        <v>122</v>
      </c>
      <c r="F159" s="3" t="s">
        <v>102</v>
      </c>
      <c r="G159" s="85">
        <f>[1]Свод!Q987/1000</f>
        <v>5438.0357320490002</v>
      </c>
      <c r="H159" s="85">
        <v>6036.1</v>
      </c>
      <c r="I159" s="85">
        <v>-895.37400000000002</v>
      </c>
      <c r="J159" s="85">
        <f>H159+I159-83.3-256.412</f>
        <v>4801.0140000000001</v>
      </c>
      <c r="K159" s="1">
        <v>-83.3</v>
      </c>
      <c r="N159" s="11">
        <f>J159+K159</f>
        <v>4717.7139999999999</v>
      </c>
      <c r="O159" s="1">
        <f t="shared" si="22"/>
        <v>239.18809980000003</v>
      </c>
    </row>
    <row r="160" spans="1:15" s="1" customFormat="1" ht="18" customHeight="1" x14ac:dyDescent="0.25">
      <c r="A160" s="129" t="s">
        <v>123</v>
      </c>
      <c r="B160" s="129"/>
      <c r="C160" s="3" t="s">
        <v>93</v>
      </c>
      <c r="D160" s="3" t="s">
        <v>51</v>
      </c>
      <c r="E160" s="3" t="s">
        <v>124</v>
      </c>
      <c r="F160" s="3"/>
      <c r="G160" s="85">
        <f>G161</f>
        <v>496.68228000000011</v>
      </c>
      <c r="H160" s="85">
        <f>H161</f>
        <v>200.7</v>
      </c>
      <c r="I160" s="85">
        <f>I161</f>
        <v>0</v>
      </c>
      <c r="J160" s="85">
        <f>J161</f>
        <v>154.73599999999999</v>
      </c>
      <c r="N160" s="11"/>
    </row>
    <row r="161" spans="1:15" s="1" customFormat="1" ht="17.25" customHeight="1" x14ac:dyDescent="0.25">
      <c r="A161" s="55"/>
      <c r="B161" s="59" t="s">
        <v>101</v>
      </c>
      <c r="C161" s="88" t="s">
        <v>93</v>
      </c>
      <c r="D161" s="88" t="s">
        <v>51</v>
      </c>
      <c r="E161" s="88" t="s">
        <v>124</v>
      </c>
      <c r="F161" s="88" t="s">
        <v>102</v>
      </c>
      <c r="G161" s="85">
        <f>[1]Свод!Q922/1000</f>
        <v>496.68228000000011</v>
      </c>
      <c r="H161" s="85">
        <v>200.7</v>
      </c>
      <c r="I161" s="85"/>
      <c r="J161" s="85">
        <f>H161+I161-37.7-8.264</f>
        <v>154.73599999999999</v>
      </c>
      <c r="K161" s="1">
        <v>-37.700000000000003</v>
      </c>
      <c r="N161" s="11">
        <f t="shared" ref="N161:N195" si="24">J161+K161</f>
        <v>117.03599999999999</v>
      </c>
      <c r="O161" s="1">
        <f t="shared" si="22"/>
        <v>5.9337252000000005</v>
      </c>
    </row>
    <row r="162" spans="1:15" s="1" customFormat="1" ht="17.25" customHeight="1" x14ac:dyDescent="0.25">
      <c r="A162" s="129" t="s">
        <v>125</v>
      </c>
      <c r="B162" s="129"/>
      <c r="C162" s="3" t="s">
        <v>93</v>
      </c>
      <c r="D162" s="3" t="s">
        <v>51</v>
      </c>
      <c r="E162" s="3" t="s">
        <v>126</v>
      </c>
      <c r="F162" s="3"/>
      <c r="G162" s="85">
        <f>G163</f>
        <v>341</v>
      </c>
      <c r="H162" s="85">
        <f>H163</f>
        <v>341</v>
      </c>
      <c r="I162" s="85">
        <f>I163</f>
        <v>79</v>
      </c>
      <c r="J162" s="85">
        <f>J163</f>
        <v>339.7</v>
      </c>
      <c r="N162" s="11"/>
      <c r="O162" s="1">
        <f t="shared" si="22"/>
        <v>0</v>
      </c>
    </row>
    <row r="163" spans="1:15" s="1" customFormat="1" ht="17.25" customHeight="1" x14ac:dyDescent="0.25">
      <c r="A163" s="55"/>
      <c r="B163" s="59" t="s">
        <v>101</v>
      </c>
      <c r="C163" s="88" t="s">
        <v>93</v>
      </c>
      <c r="D163" s="88" t="s">
        <v>51</v>
      </c>
      <c r="E163" s="88" t="s">
        <v>126</v>
      </c>
      <c r="F163" s="88" t="s">
        <v>102</v>
      </c>
      <c r="G163" s="85">
        <f>[1]Свод!Q954/1000</f>
        <v>341</v>
      </c>
      <c r="H163" s="85">
        <v>341</v>
      </c>
      <c r="I163" s="85">
        <v>79</v>
      </c>
      <c r="J163" s="85">
        <f>H163+I163-80.3</f>
        <v>339.7</v>
      </c>
      <c r="K163" s="1">
        <v>-80.3</v>
      </c>
      <c r="N163" s="11"/>
      <c r="O163" s="1">
        <f t="shared" si="22"/>
        <v>0</v>
      </c>
    </row>
    <row r="164" spans="1:15" s="1" customFormat="1" ht="15.75" customHeight="1" x14ac:dyDescent="0.25">
      <c r="A164" s="129" t="s">
        <v>127</v>
      </c>
      <c r="B164" s="129"/>
      <c r="C164" s="3" t="s">
        <v>93</v>
      </c>
      <c r="D164" s="3" t="s">
        <v>51</v>
      </c>
      <c r="E164" s="3" t="s">
        <v>128</v>
      </c>
      <c r="F164" s="3"/>
      <c r="G164" s="85">
        <f>G165</f>
        <v>531.05999999999995</v>
      </c>
      <c r="H164" s="85">
        <f>H165</f>
        <v>531.1</v>
      </c>
      <c r="I164" s="85">
        <f>I165</f>
        <v>-29.1</v>
      </c>
      <c r="J164" s="85">
        <f>J165</f>
        <v>502</v>
      </c>
      <c r="N164" s="11"/>
      <c r="O164" s="1">
        <f t="shared" si="22"/>
        <v>0</v>
      </c>
    </row>
    <row r="165" spans="1:15" s="1" customFormat="1" ht="17.25" customHeight="1" x14ac:dyDescent="0.25">
      <c r="A165" s="55"/>
      <c r="B165" s="59" t="s">
        <v>101</v>
      </c>
      <c r="C165" s="88" t="s">
        <v>93</v>
      </c>
      <c r="D165" s="88" t="s">
        <v>51</v>
      </c>
      <c r="E165" s="88" t="s">
        <v>128</v>
      </c>
      <c r="F165" s="88" t="s">
        <v>102</v>
      </c>
      <c r="G165" s="85">
        <f>[1]Свод!Q823/1000</f>
        <v>531.05999999999995</v>
      </c>
      <c r="H165" s="85">
        <v>531.1</v>
      </c>
      <c r="I165" s="85">
        <v>-29.1</v>
      </c>
      <c r="J165" s="85">
        <f>H165+I165</f>
        <v>502</v>
      </c>
      <c r="N165" s="11"/>
      <c r="O165" s="1">
        <f t="shared" si="22"/>
        <v>0</v>
      </c>
    </row>
    <row r="166" spans="1:15" s="1" customFormat="1" ht="17.25" customHeight="1" x14ac:dyDescent="0.25">
      <c r="A166" s="129" t="s">
        <v>129</v>
      </c>
      <c r="B166" s="129"/>
      <c r="C166" s="88" t="s">
        <v>93</v>
      </c>
      <c r="D166" s="88" t="s">
        <v>51</v>
      </c>
      <c r="E166" s="88" t="s">
        <v>130</v>
      </c>
      <c r="F166" s="3"/>
      <c r="G166" s="85">
        <f>G167</f>
        <v>1365.1787673599999</v>
      </c>
      <c r="H166" s="85">
        <f>H167</f>
        <v>1365.2</v>
      </c>
      <c r="I166" s="85">
        <f>I167</f>
        <v>-41</v>
      </c>
      <c r="J166" s="85">
        <f>J167</f>
        <v>1257.0630000000001</v>
      </c>
      <c r="N166" s="11"/>
    </row>
    <row r="167" spans="1:15" s="1" customFormat="1" ht="17.25" customHeight="1" x14ac:dyDescent="0.25">
      <c r="A167" s="55"/>
      <c r="B167" s="59" t="s">
        <v>101</v>
      </c>
      <c r="C167" s="3" t="s">
        <v>93</v>
      </c>
      <c r="D167" s="3" t="s">
        <v>51</v>
      </c>
      <c r="E167" s="3" t="s">
        <v>130</v>
      </c>
      <c r="F167" s="3" t="s">
        <v>102</v>
      </c>
      <c r="G167" s="85">
        <f>[1]Свод!R987/1000</f>
        <v>1365.1787673599999</v>
      </c>
      <c r="H167" s="85">
        <v>1365.2</v>
      </c>
      <c r="I167" s="85">
        <v>-41</v>
      </c>
      <c r="J167" s="85">
        <f>H167+I167-67.137</f>
        <v>1257.0630000000001</v>
      </c>
      <c r="N167" s="11">
        <f t="shared" si="24"/>
        <v>1257.0630000000001</v>
      </c>
      <c r="O167" s="1">
        <f t="shared" si="22"/>
        <v>63.73309410000001</v>
      </c>
    </row>
    <row r="168" spans="1:15" s="1" customFormat="1" ht="15" customHeight="1" x14ac:dyDescent="0.25">
      <c r="A168" s="129" t="s">
        <v>131</v>
      </c>
      <c r="B168" s="129"/>
      <c r="C168" s="3" t="s">
        <v>93</v>
      </c>
      <c r="D168" s="3" t="s">
        <v>51</v>
      </c>
      <c r="E168" s="3" t="s">
        <v>132</v>
      </c>
      <c r="F168" s="3"/>
      <c r="G168" s="85">
        <f>G169</f>
        <v>628.07723999999996</v>
      </c>
      <c r="H168" s="85">
        <f>H169</f>
        <v>243.1</v>
      </c>
      <c r="I168" s="85">
        <f>I169</f>
        <v>0</v>
      </c>
      <c r="J168" s="85">
        <f>J169</f>
        <v>230.77500000000001</v>
      </c>
      <c r="N168" s="11"/>
    </row>
    <row r="169" spans="1:15" s="1" customFormat="1" ht="17.25" customHeight="1" x14ac:dyDescent="0.25">
      <c r="A169" s="55"/>
      <c r="B169" s="59" t="s">
        <v>101</v>
      </c>
      <c r="C169" s="88" t="s">
        <v>93</v>
      </c>
      <c r="D169" s="88" t="s">
        <v>51</v>
      </c>
      <c r="E169" s="88" t="s">
        <v>132</v>
      </c>
      <c r="F169" s="88" t="s">
        <v>102</v>
      </c>
      <c r="G169" s="85">
        <f>[1]Свод!R922/1000</f>
        <v>628.07723999999996</v>
      </c>
      <c r="H169" s="85">
        <v>243.1</v>
      </c>
      <c r="I169" s="85"/>
      <c r="J169" s="85">
        <f>H169+I169-12.325</f>
        <v>230.77500000000001</v>
      </c>
      <c r="N169" s="11">
        <f t="shared" si="24"/>
        <v>230.77500000000001</v>
      </c>
      <c r="O169" s="1">
        <f t="shared" si="22"/>
        <v>11.7002925</v>
      </c>
    </row>
    <row r="170" spans="1:15" s="1" customFormat="1" ht="17.25" customHeight="1" x14ac:dyDescent="0.25">
      <c r="A170" s="129" t="s">
        <v>133</v>
      </c>
      <c r="B170" s="129"/>
      <c r="C170" s="3" t="s">
        <v>93</v>
      </c>
      <c r="D170" s="3" t="s">
        <v>51</v>
      </c>
      <c r="E170" s="3" t="s">
        <v>134</v>
      </c>
      <c r="F170" s="3"/>
      <c r="G170" s="85">
        <f>G171</f>
        <v>22.3</v>
      </c>
      <c r="H170" s="85">
        <f>H171</f>
        <v>22.3</v>
      </c>
      <c r="I170" s="85">
        <f>I171</f>
        <v>0</v>
      </c>
      <c r="J170" s="85">
        <f>J171</f>
        <v>22.3</v>
      </c>
      <c r="N170" s="11"/>
      <c r="O170" s="1">
        <f t="shared" si="22"/>
        <v>0</v>
      </c>
    </row>
    <row r="171" spans="1:15" s="1" customFormat="1" ht="17.25" customHeight="1" x14ac:dyDescent="0.25">
      <c r="A171" s="55"/>
      <c r="B171" s="59" t="s">
        <v>101</v>
      </c>
      <c r="C171" s="88" t="s">
        <v>93</v>
      </c>
      <c r="D171" s="88" t="s">
        <v>51</v>
      </c>
      <c r="E171" s="88" t="s">
        <v>134</v>
      </c>
      <c r="F171" s="88" t="s">
        <v>102</v>
      </c>
      <c r="G171" s="85">
        <f>[1]Свод!R954/1000</f>
        <v>22.3</v>
      </c>
      <c r="H171" s="85">
        <v>22.3</v>
      </c>
      <c r="I171" s="85"/>
      <c r="J171" s="85">
        <f>H171+I171</f>
        <v>22.3</v>
      </c>
      <c r="N171" s="11"/>
      <c r="O171" s="1">
        <f t="shared" si="22"/>
        <v>0</v>
      </c>
    </row>
    <row r="172" spans="1:15" s="1" customFormat="1" ht="15.75" customHeight="1" x14ac:dyDescent="0.25">
      <c r="A172" s="129" t="s">
        <v>135</v>
      </c>
      <c r="B172" s="129"/>
      <c r="C172" s="3" t="s">
        <v>93</v>
      </c>
      <c r="D172" s="3" t="s">
        <v>51</v>
      </c>
      <c r="E172" s="3" t="s">
        <v>136</v>
      </c>
      <c r="F172" s="3"/>
      <c r="G172" s="85">
        <f>G173</f>
        <v>148.29599999999999</v>
      </c>
      <c r="H172" s="85">
        <f>H173</f>
        <v>148.30000000000001</v>
      </c>
      <c r="I172" s="85">
        <f>I173</f>
        <v>-16.3</v>
      </c>
      <c r="J172" s="85">
        <f>J173</f>
        <v>132</v>
      </c>
      <c r="N172" s="11"/>
      <c r="O172" s="1">
        <f t="shared" si="22"/>
        <v>0</v>
      </c>
    </row>
    <row r="173" spans="1:15" s="1" customFormat="1" ht="17.25" customHeight="1" x14ac:dyDescent="0.25">
      <c r="A173" s="55"/>
      <c r="B173" s="59" t="s">
        <v>101</v>
      </c>
      <c r="C173" s="88" t="s">
        <v>93</v>
      </c>
      <c r="D173" s="88" t="s">
        <v>51</v>
      </c>
      <c r="E173" s="88" t="s">
        <v>136</v>
      </c>
      <c r="F173" s="88" t="s">
        <v>102</v>
      </c>
      <c r="G173" s="85">
        <f>[1]Свод!R823/1000</f>
        <v>148.29599999999999</v>
      </c>
      <c r="H173" s="85">
        <v>148.30000000000001</v>
      </c>
      <c r="I173" s="85">
        <v>-16.3</v>
      </c>
      <c r="J173" s="85">
        <f>H173+I173</f>
        <v>132</v>
      </c>
      <c r="N173" s="11"/>
      <c r="O173" s="1">
        <f t="shared" si="22"/>
        <v>0</v>
      </c>
    </row>
    <row r="174" spans="1:15" s="1" customFormat="1" ht="18.75" customHeight="1" x14ac:dyDescent="0.25">
      <c r="A174" s="129" t="s">
        <v>137</v>
      </c>
      <c r="B174" s="129"/>
      <c r="C174" s="88" t="s">
        <v>93</v>
      </c>
      <c r="D174" s="88" t="s">
        <v>51</v>
      </c>
      <c r="E174" s="88" t="s">
        <v>138</v>
      </c>
      <c r="F174" s="3"/>
      <c r="G174" s="85">
        <f>G175</f>
        <v>1620.0963535000003</v>
      </c>
      <c r="H174" s="85">
        <f>H175</f>
        <v>1720.1</v>
      </c>
      <c r="I174" s="85">
        <f>I175</f>
        <v>-80</v>
      </c>
      <c r="J174" s="85">
        <f>J175</f>
        <v>1556.9469999999999</v>
      </c>
      <c r="N174" s="11"/>
    </row>
    <row r="175" spans="1:15" s="1" customFormat="1" ht="17.25" customHeight="1" x14ac:dyDescent="0.25">
      <c r="A175" s="55"/>
      <c r="B175" s="59" t="s">
        <v>101</v>
      </c>
      <c r="C175" s="3" t="s">
        <v>93</v>
      </c>
      <c r="D175" s="3" t="s">
        <v>51</v>
      </c>
      <c r="E175" s="3" t="s">
        <v>138</v>
      </c>
      <c r="F175" s="3" t="s">
        <v>102</v>
      </c>
      <c r="G175" s="85">
        <f>[1]Свод!S987/1000</f>
        <v>1620.0963535000003</v>
      </c>
      <c r="H175" s="85">
        <v>1720.1</v>
      </c>
      <c r="I175" s="85">
        <v>-80</v>
      </c>
      <c r="J175" s="85">
        <f>H175+I175-83.153</f>
        <v>1556.9469999999999</v>
      </c>
      <c r="N175" s="11">
        <f t="shared" si="24"/>
        <v>1556.9469999999999</v>
      </c>
      <c r="O175" s="1">
        <f t="shared" si="22"/>
        <v>78.937212899999992</v>
      </c>
    </row>
    <row r="176" spans="1:15" s="1" customFormat="1" ht="15" customHeight="1" x14ac:dyDescent="0.25">
      <c r="A176" s="129" t="s">
        <v>139</v>
      </c>
      <c r="B176" s="129"/>
      <c r="C176" s="3" t="s">
        <v>93</v>
      </c>
      <c r="D176" s="3" t="s">
        <v>51</v>
      </c>
      <c r="E176" s="3" t="s">
        <v>140</v>
      </c>
      <c r="F176" s="3"/>
      <c r="G176" s="85">
        <f>G177</f>
        <v>725.56884000000014</v>
      </c>
      <c r="H176" s="85">
        <f>H177</f>
        <v>265.5</v>
      </c>
      <c r="I176" s="85">
        <f>I177</f>
        <v>0</v>
      </c>
      <c r="J176" s="85">
        <f>J177</f>
        <v>252.03899999999999</v>
      </c>
      <c r="N176" s="11"/>
    </row>
    <row r="177" spans="1:15" s="1" customFormat="1" ht="17.25" customHeight="1" x14ac:dyDescent="0.25">
      <c r="A177" s="55"/>
      <c r="B177" s="59" t="s">
        <v>101</v>
      </c>
      <c r="C177" s="88" t="s">
        <v>93</v>
      </c>
      <c r="D177" s="88" t="s">
        <v>51</v>
      </c>
      <c r="E177" s="88" t="s">
        <v>140</v>
      </c>
      <c r="F177" s="88" t="s">
        <v>102</v>
      </c>
      <c r="G177" s="85">
        <f>[1]Свод!S922/1000</f>
        <v>725.56884000000014</v>
      </c>
      <c r="H177" s="85">
        <v>265.5</v>
      </c>
      <c r="I177" s="85"/>
      <c r="J177" s="85">
        <f>H177+I177-13.461</f>
        <v>252.03899999999999</v>
      </c>
      <c r="N177" s="11">
        <f t="shared" si="24"/>
        <v>252.03899999999999</v>
      </c>
      <c r="O177" s="1">
        <f t="shared" si="22"/>
        <v>12.778377299999999</v>
      </c>
    </row>
    <row r="178" spans="1:15" s="1" customFormat="1" ht="15" customHeight="1" x14ac:dyDescent="0.25">
      <c r="A178" s="129" t="s">
        <v>141</v>
      </c>
      <c r="B178" s="129"/>
      <c r="C178" s="3" t="s">
        <v>93</v>
      </c>
      <c r="D178" s="3" t="s">
        <v>51</v>
      </c>
      <c r="E178" s="3" t="s">
        <v>142</v>
      </c>
      <c r="F178" s="3"/>
      <c r="G178" s="85">
        <f>G179</f>
        <v>17</v>
      </c>
      <c r="H178" s="85">
        <f>H179</f>
        <v>17</v>
      </c>
      <c r="I178" s="85">
        <f>I179</f>
        <v>0</v>
      </c>
      <c r="J178" s="85">
        <f>J179</f>
        <v>17</v>
      </c>
      <c r="N178" s="11"/>
      <c r="O178" s="1">
        <f t="shared" si="22"/>
        <v>0</v>
      </c>
    </row>
    <row r="179" spans="1:15" s="1" customFormat="1" ht="17.25" customHeight="1" x14ac:dyDescent="0.25">
      <c r="A179" s="55"/>
      <c r="B179" s="59" t="s">
        <v>101</v>
      </c>
      <c r="C179" s="88" t="s">
        <v>93</v>
      </c>
      <c r="D179" s="88" t="s">
        <v>51</v>
      </c>
      <c r="E179" s="88" t="s">
        <v>142</v>
      </c>
      <c r="F179" s="88" t="s">
        <v>102</v>
      </c>
      <c r="G179" s="85">
        <f>[1]Свод!S954/1000</f>
        <v>17</v>
      </c>
      <c r="H179" s="85">
        <v>17</v>
      </c>
      <c r="I179" s="85"/>
      <c r="J179" s="85">
        <f>H179+I179</f>
        <v>17</v>
      </c>
      <c r="N179" s="11"/>
      <c r="O179" s="1">
        <f t="shared" si="22"/>
        <v>0</v>
      </c>
    </row>
    <row r="180" spans="1:15" s="1" customFormat="1" ht="15.75" customHeight="1" x14ac:dyDescent="0.25">
      <c r="A180" s="129" t="s">
        <v>143</v>
      </c>
      <c r="B180" s="129"/>
      <c r="C180" s="3" t="s">
        <v>93</v>
      </c>
      <c r="D180" s="3" t="s">
        <v>51</v>
      </c>
      <c r="E180" s="3" t="s">
        <v>144</v>
      </c>
      <c r="F180" s="3"/>
      <c r="G180" s="85">
        <f>G181</f>
        <v>158.316</v>
      </c>
      <c r="H180" s="85">
        <f>H181</f>
        <v>158.30000000000001</v>
      </c>
      <c r="I180" s="85">
        <f>I181</f>
        <v>-12.3</v>
      </c>
      <c r="J180" s="85">
        <f>J181</f>
        <v>146</v>
      </c>
      <c r="N180" s="11"/>
      <c r="O180" s="1">
        <f t="shared" si="22"/>
        <v>0</v>
      </c>
    </row>
    <row r="181" spans="1:15" s="1" customFormat="1" ht="17.25" customHeight="1" x14ac:dyDescent="0.25">
      <c r="A181" s="55"/>
      <c r="B181" s="59" t="s">
        <v>101</v>
      </c>
      <c r="C181" s="88" t="s">
        <v>93</v>
      </c>
      <c r="D181" s="88" t="s">
        <v>51</v>
      </c>
      <c r="E181" s="88" t="s">
        <v>144</v>
      </c>
      <c r="F181" s="88" t="s">
        <v>102</v>
      </c>
      <c r="G181" s="85">
        <f>[1]Свод!S823/1000</f>
        <v>158.316</v>
      </c>
      <c r="H181" s="85">
        <v>158.30000000000001</v>
      </c>
      <c r="I181" s="85">
        <v>-12.3</v>
      </c>
      <c r="J181" s="85">
        <f>H181+I181</f>
        <v>146</v>
      </c>
      <c r="N181" s="11"/>
      <c r="O181" s="1">
        <f t="shared" si="22"/>
        <v>0</v>
      </c>
    </row>
    <row r="182" spans="1:15" s="1" customFormat="1" ht="18" customHeight="1" x14ac:dyDescent="0.25">
      <c r="A182" s="129" t="s">
        <v>145</v>
      </c>
      <c r="B182" s="129"/>
      <c r="C182" s="88" t="s">
        <v>93</v>
      </c>
      <c r="D182" s="88" t="s">
        <v>51</v>
      </c>
      <c r="E182" s="88" t="s">
        <v>146</v>
      </c>
      <c r="F182" s="3"/>
      <c r="G182" s="85">
        <f>G183</f>
        <v>972.78971004239986</v>
      </c>
      <c r="H182" s="85">
        <f>H183</f>
        <v>1022.8</v>
      </c>
      <c r="I182" s="85">
        <f>I183</f>
        <v>-37.426000000000002</v>
      </c>
      <c r="J182" s="85">
        <f>J183</f>
        <v>935.41599999999994</v>
      </c>
      <c r="N182" s="11"/>
      <c r="O182" s="1">
        <f t="shared" si="22"/>
        <v>0</v>
      </c>
    </row>
    <row r="183" spans="1:15" s="1" customFormat="1" ht="17.25" customHeight="1" x14ac:dyDescent="0.25">
      <c r="A183" s="55"/>
      <c r="B183" s="59" t="s">
        <v>101</v>
      </c>
      <c r="C183" s="3" t="s">
        <v>93</v>
      </c>
      <c r="D183" s="3" t="s">
        <v>51</v>
      </c>
      <c r="E183" s="3" t="s">
        <v>146</v>
      </c>
      <c r="F183" s="3" t="s">
        <v>102</v>
      </c>
      <c r="G183" s="85">
        <f>[1]Свод!T987/1000</f>
        <v>972.78971004239986</v>
      </c>
      <c r="H183" s="85">
        <v>1022.8</v>
      </c>
      <c r="I183" s="85">
        <v>-37.426000000000002</v>
      </c>
      <c r="J183" s="85">
        <f>H183+I183-49.958</f>
        <v>935.41599999999994</v>
      </c>
      <c r="N183" s="11">
        <f t="shared" si="24"/>
        <v>935.41599999999994</v>
      </c>
      <c r="O183" s="1">
        <f t="shared" si="22"/>
        <v>47.4255912</v>
      </c>
    </row>
    <row r="184" spans="1:15" s="1" customFormat="1" ht="15.75" customHeight="1" x14ac:dyDescent="0.25">
      <c r="A184" s="129" t="s">
        <v>147</v>
      </c>
      <c r="B184" s="129"/>
      <c r="C184" s="3" t="s">
        <v>93</v>
      </c>
      <c r="D184" s="3" t="s">
        <v>51</v>
      </c>
      <c r="E184" s="3" t="s">
        <v>148</v>
      </c>
      <c r="F184" s="3"/>
      <c r="G184" s="85">
        <f>G185</f>
        <v>141.98400000000001</v>
      </c>
      <c r="H184" s="85">
        <f>H185</f>
        <v>56.9</v>
      </c>
      <c r="I184" s="85">
        <f>I185</f>
        <v>0</v>
      </c>
      <c r="J184" s="85">
        <f>J185</f>
        <v>54.015000000000001</v>
      </c>
      <c r="N184" s="11"/>
      <c r="O184" s="1">
        <f t="shared" si="22"/>
        <v>0</v>
      </c>
    </row>
    <row r="185" spans="1:15" s="1" customFormat="1" ht="17.25" customHeight="1" x14ac:dyDescent="0.25">
      <c r="A185" s="55"/>
      <c r="B185" s="59" t="s">
        <v>101</v>
      </c>
      <c r="C185" s="88" t="s">
        <v>93</v>
      </c>
      <c r="D185" s="88" t="s">
        <v>51</v>
      </c>
      <c r="E185" s="88" t="s">
        <v>148</v>
      </c>
      <c r="F185" s="88" t="s">
        <v>102</v>
      </c>
      <c r="G185" s="85">
        <f>[1]Свод!T922/1000</f>
        <v>141.98400000000001</v>
      </c>
      <c r="H185" s="85">
        <v>56.9</v>
      </c>
      <c r="I185" s="85"/>
      <c r="J185" s="85">
        <f>H185+I185-2.885</f>
        <v>54.015000000000001</v>
      </c>
      <c r="N185" s="11">
        <f t="shared" si="24"/>
        <v>54.015000000000001</v>
      </c>
      <c r="O185" s="1">
        <f t="shared" si="22"/>
        <v>2.7385605000000002</v>
      </c>
    </row>
    <row r="186" spans="1:15" s="1" customFormat="1" ht="18" customHeight="1" x14ac:dyDescent="0.25">
      <c r="A186" s="129" t="s">
        <v>149</v>
      </c>
      <c r="B186" s="129"/>
      <c r="C186" s="3" t="s">
        <v>93</v>
      </c>
      <c r="D186" s="3" t="s">
        <v>51</v>
      </c>
      <c r="E186" s="3" t="s">
        <v>150</v>
      </c>
      <c r="F186" s="3"/>
      <c r="G186" s="85">
        <f>G187</f>
        <v>27.6</v>
      </c>
      <c r="H186" s="85">
        <f>H187</f>
        <v>27.6</v>
      </c>
      <c r="I186" s="85">
        <f>I187</f>
        <v>1</v>
      </c>
      <c r="J186" s="85">
        <f>J187</f>
        <v>28.6</v>
      </c>
      <c r="N186" s="11"/>
      <c r="O186" s="1">
        <f t="shared" si="22"/>
        <v>0</v>
      </c>
    </row>
    <row r="187" spans="1:15" s="1" customFormat="1" ht="17.25" customHeight="1" x14ac:dyDescent="0.25">
      <c r="A187" s="55"/>
      <c r="B187" s="59" t="s">
        <v>101</v>
      </c>
      <c r="C187" s="88" t="s">
        <v>93</v>
      </c>
      <c r="D187" s="88" t="s">
        <v>51</v>
      </c>
      <c r="E187" s="88" t="s">
        <v>150</v>
      </c>
      <c r="F187" s="88" t="s">
        <v>102</v>
      </c>
      <c r="G187" s="85">
        <f>[1]Свод!T954/1000</f>
        <v>27.6</v>
      </c>
      <c r="H187" s="85">
        <v>27.6</v>
      </c>
      <c r="I187" s="85">
        <v>1</v>
      </c>
      <c r="J187" s="85">
        <f>H187+I187</f>
        <v>28.6</v>
      </c>
      <c r="N187" s="11"/>
      <c r="O187" s="1">
        <f t="shared" si="22"/>
        <v>0</v>
      </c>
    </row>
    <row r="188" spans="1:15" s="1" customFormat="1" ht="15.75" customHeight="1" x14ac:dyDescent="0.25">
      <c r="A188" s="129" t="s">
        <v>151</v>
      </c>
      <c r="B188" s="129"/>
      <c r="C188" s="3" t="s">
        <v>93</v>
      </c>
      <c r="D188" s="3" t="s">
        <v>51</v>
      </c>
      <c r="E188" s="3" t="s">
        <v>152</v>
      </c>
      <c r="F188" s="3"/>
      <c r="G188" s="85">
        <f>G189</f>
        <v>74.147999999999996</v>
      </c>
      <c r="H188" s="85">
        <f>H189</f>
        <v>74.2</v>
      </c>
      <c r="I188" s="85">
        <f>I189</f>
        <v>-10.199999999999999</v>
      </c>
      <c r="J188" s="85">
        <f>J189</f>
        <v>64</v>
      </c>
      <c r="N188" s="11"/>
      <c r="O188" s="1">
        <f t="shared" si="22"/>
        <v>0</v>
      </c>
    </row>
    <row r="189" spans="1:15" s="1" customFormat="1" ht="17.25" customHeight="1" x14ac:dyDescent="0.25">
      <c r="A189" s="55"/>
      <c r="B189" s="59" t="s">
        <v>101</v>
      </c>
      <c r="C189" s="88" t="s">
        <v>93</v>
      </c>
      <c r="D189" s="88" t="s">
        <v>51</v>
      </c>
      <c r="E189" s="88" t="s">
        <v>152</v>
      </c>
      <c r="F189" s="88" t="s">
        <v>102</v>
      </c>
      <c r="G189" s="85">
        <f>[1]Свод!T823/1000</f>
        <v>74.147999999999996</v>
      </c>
      <c r="H189" s="85">
        <v>74.2</v>
      </c>
      <c r="I189" s="85">
        <v>-10.199999999999999</v>
      </c>
      <c r="J189" s="85">
        <f>H189+I189</f>
        <v>64</v>
      </c>
      <c r="N189" s="11"/>
      <c r="O189" s="1">
        <f t="shared" si="22"/>
        <v>0</v>
      </c>
    </row>
    <row r="190" spans="1:15" s="1" customFormat="1" ht="15.75" customHeight="1" x14ac:dyDescent="0.25">
      <c r="A190" s="129" t="s">
        <v>153</v>
      </c>
      <c r="B190" s="129"/>
      <c r="C190" s="88" t="s">
        <v>93</v>
      </c>
      <c r="D190" s="88" t="s">
        <v>51</v>
      </c>
      <c r="E190" s="88" t="s">
        <v>154</v>
      </c>
      <c r="F190" s="3"/>
      <c r="G190" s="85">
        <f>G191</f>
        <v>1130.1701811</v>
      </c>
      <c r="H190" s="85">
        <f>H191</f>
        <v>1230.2</v>
      </c>
      <c r="I190" s="85">
        <f>I191</f>
        <v>-131</v>
      </c>
      <c r="J190" s="85">
        <f>J191</f>
        <v>1063.471</v>
      </c>
      <c r="N190" s="11"/>
      <c r="O190" s="1">
        <f t="shared" si="22"/>
        <v>0</v>
      </c>
    </row>
    <row r="191" spans="1:15" s="1" customFormat="1" ht="17.25" customHeight="1" x14ac:dyDescent="0.25">
      <c r="A191" s="55"/>
      <c r="B191" s="59" t="s">
        <v>101</v>
      </c>
      <c r="C191" s="3" t="s">
        <v>93</v>
      </c>
      <c r="D191" s="3" t="s">
        <v>51</v>
      </c>
      <c r="E191" s="3" t="s">
        <v>154</v>
      </c>
      <c r="F191" s="3" t="s">
        <v>102</v>
      </c>
      <c r="G191" s="85">
        <f>[1]Свод!U987/1000</f>
        <v>1130.1701811</v>
      </c>
      <c r="H191" s="85">
        <v>1230.2</v>
      </c>
      <c r="I191" s="85">
        <v>-131</v>
      </c>
      <c r="J191" s="85">
        <f>H191+I191-55.729+20</f>
        <v>1063.471</v>
      </c>
      <c r="K191" s="1">
        <v>70</v>
      </c>
      <c r="N191" s="11">
        <f t="shared" si="24"/>
        <v>1133.471</v>
      </c>
      <c r="O191" s="1">
        <f t="shared" si="22"/>
        <v>57.466979700000003</v>
      </c>
    </row>
    <row r="192" spans="1:15" s="1" customFormat="1" ht="15" customHeight="1" x14ac:dyDescent="0.25">
      <c r="A192" s="129" t="s">
        <v>155</v>
      </c>
      <c r="B192" s="129"/>
      <c r="C192" s="3" t="s">
        <v>93</v>
      </c>
      <c r="D192" s="3" t="s">
        <v>51</v>
      </c>
      <c r="E192" s="3" t="s">
        <v>156</v>
      </c>
      <c r="F192" s="3"/>
      <c r="G192" s="85">
        <f>G193</f>
        <v>114.16140000000001</v>
      </c>
      <c r="H192" s="85">
        <f>H193</f>
        <v>59.4</v>
      </c>
      <c r="I192" s="85">
        <f>I193</f>
        <v>0</v>
      </c>
      <c r="J192" s="85">
        <f>J193</f>
        <v>56.387999999999998</v>
      </c>
      <c r="N192" s="11"/>
      <c r="O192" s="1">
        <f t="shared" si="22"/>
        <v>0</v>
      </c>
    </row>
    <row r="193" spans="1:15" s="1" customFormat="1" ht="17.25" customHeight="1" x14ac:dyDescent="0.25">
      <c r="A193" s="55"/>
      <c r="B193" s="59" t="s">
        <v>101</v>
      </c>
      <c r="C193" s="88" t="s">
        <v>93</v>
      </c>
      <c r="D193" s="88" t="s">
        <v>51</v>
      </c>
      <c r="E193" s="88" t="s">
        <v>156</v>
      </c>
      <c r="F193" s="88" t="s">
        <v>102</v>
      </c>
      <c r="G193" s="85">
        <f>[1]Свод!U922/1000</f>
        <v>114.16140000000001</v>
      </c>
      <c r="H193" s="85">
        <v>59.4</v>
      </c>
      <c r="I193" s="85"/>
      <c r="J193" s="85">
        <f>H193+I193-3.012</f>
        <v>56.387999999999998</v>
      </c>
      <c r="N193" s="11">
        <f t="shared" si="24"/>
        <v>56.387999999999998</v>
      </c>
      <c r="O193" s="1">
        <f t="shared" si="22"/>
        <v>2.8588716000000001</v>
      </c>
    </row>
    <row r="194" spans="1:15" s="1" customFormat="1" ht="27" customHeight="1" x14ac:dyDescent="0.25">
      <c r="A194" s="129" t="s">
        <v>157</v>
      </c>
      <c r="B194" s="129"/>
      <c r="C194" s="3" t="s">
        <v>93</v>
      </c>
      <c r="D194" s="3" t="s">
        <v>51</v>
      </c>
      <c r="E194" s="3" t="s">
        <v>158</v>
      </c>
      <c r="F194" s="3"/>
      <c r="G194" s="85">
        <f>G195</f>
        <v>89.6</v>
      </c>
      <c r="H194" s="85">
        <f>H195</f>
        <v>89.6</v>
      </c>
      <c r="I194" s="85">
        <f>I195</f>
        <v>0</v>
      </c>
      <c r="J194" s="85">
        <f>J195</f>
        <v>85.056999999999988</v>
      </c>
      <c r="N194" s="11"/>
      <c r="O194" s="1">
        <f t="shared" si="22"/>
        <v>0</v>
      </c>
    </row>
    <row r="195" spans="1:15" s="1" customFormat="1" ht="17.25" customHeight="1" x14ac:dyDescent="0.25">
      <c r="A195" s="55"/>
      <c r="B195" s="59" t="s">
        <v>101</v>
      </c>
      <c r="C195" s="88" t="s">
        <v>93</v>
      </c>
      <c r="D195" s="88" t="s">
        <v>51</v>
      </c>
      <c r="E195" s="88" t="s">
        <v>158</v>
      </c>
      <c r="F195" s="88" t="s">
        <v>102</v>
      </c>
      <c r="G195" s="85">
        <f>[1]Свод!U1019/1000</f>
        <v>89.6</v>
      </c>
      <c r="H195" s="85">
        <v>89.6</v>
      </c>
      <c r="I195" s="85"/>
      <c r="J195" s="85">
        <f>H195+I195-4.543</f>
        <v>85.056999999999988</v>
      </c>
      <c r="N195" s="11">
        <f t="shared" si="24"/>
        <v>85.056999999999988</v>
      </c>
      <c r="O195" s="1">
        <f t="shared" si="22"/>
        <v>4.3123898999999994</v>
      </c>
    </row>
    <row r="196" spans="1:15" s="1" customFormat="1" ht="15.75" customHeight="1" x14ac:dyDescent="0.25">
      <c r="A196" s="129" t="s">
        <v>159</v>
      </c>
      <c r="B196" s="129"/>
      <c r="C196" s="3" t="s">
        <v>93</v>
      </c>
      <c r="D196" s="3" t="s">
        <v>51</v>
      </c>
      <c r="E196" s="3" t="s">
        <v>160</v>
      </c>
      <c r="F196" s="3"/>
      <c r="G196" s="85">
        <f>G197</f>
        <v>545</v>
      </c>
      <c r="H196" s="85">
        <f>H197</f>
        <v>545</v>
      </c>
      <c r="I196" s="85">
        <f>I197</f>
        <v>0</v>
      </c>
      <c r="J196" s="85">
        <f>J197</f>
        <v>545</v>
      </c>
      <c r="N196" s="11"/>
      <c r="O196" s="1">
        <f t="shared" si="22"/>
        <v>0</v>
      </c>
    </row>
    <row r="197" spans="1:15" s="1" customFormat="1" ht="17.25" customHeight="1" x14ac:dyDescent="0.25">
      <c r="A197" s="55"/>
      <c r="B197" s="59" t="s">
        <v>101</v>
      </c>
      <c r="C197" s="88" t="s">
        <v>93</v>
      </c>
      <c r="D197" s="88" t="s">
        <v>51</v>
      </c>
      <c r="E197" s="88" t="s">
        <v>160</v>
      </c>
      <c r="F197" s="88" t="s">
        <v>102</v>
      </c>
      <c r="G197" s="85">
        <f>[1]Свод!U954/1000</f>
        <v>545</v>
      </c>
      <c r="H197" s="85">
        <v>545</v>
      </c>
      <c r="I197" s="85"/>
      <c r="J197" s="85">
        <f>H197+I197</f>
        <v>545</v>
      </c>
      <c r="N197" s="11"/>
      <c r="O197" s="1">
        <f t="shared" si="22"/>
        <v>0</v>
      </c>
    </row>
    <row r="198" spans="1:15" s="1" customFormat="1" ht="15.75" customHeight="1" x14ac:dyDescent="0.25">
      <c r="A198" s="129" t="s">
        <v>584</v>
      </c>
      <c r="B198" s="129"/>
      <c r="C198" s="3" t="s">
        <v>93</v>
      </c>
      <c r="D198" s="3" t="s">
        <v>51</v>
      </c>
      <c r="E198" s="3" t="s">
        <v>585</v>
      </c>
      <c r="F198" s="3"/>
      <c r="G198" s="85">
        <f>G199</f>
        <v>100.2</v>
      </c>
      <c r="H198" s="85">
        <f>H199</f>
        <v>100.2</v>
      </c>
      <c r="I198" s="85">
        <f>I199</f>
        <v>-6.2</v>
      </c>
      <c r="J198" s="85">
        <f>J199</f>
        <v>94</v>
      </c>
      <c r="N198" s="11"/>
      <c r="O198" s="1">
        <f t="shared" si="22"/>
        <v>0</v>
      </c>
    </row>
    <row r="199" spans="1:15" s="1" customFormat="1" ht="17.25" customHeight="1" x14ac:dyDescent="0.25">
      <c r="A199" s="55"/>
      <c r="B199" s="59" t="s">
        <v>101</v>
      </c>
      <c r="C199" s="88" t="s">
        <v>93</v>
      </c>
      <c r="D199" s="88" t="s">
        <v>51</v>
      </c>
      <c r="E199" s="88" t="s">
        <v>585</v>
      </c>
      <c r="F199" s="88" t="s">
        <v>102</v>
      </c>
      <c r="G199" s="85">
        <f>[1]Свод!U823/1000</f>
        <v>100.2</v>
      </c>
      <c r="H199" s="85">
        <v>100.2</v>
      </c>
      <c r="I199" s="85">
        <v>-6.2</v>
      </c>
      <c r="J199" s="85">
        <f>H199+I199</f>
        <v>94</v>
      </c>
      <c r="N199" s="11"/>
      <c r="O199" s="1">
        <f t="shared" si="22"/>
        <v>0</v>
      </c>
    </row>
    <row r="200" spans="1:15" s="1" customFormat="1" ht="16.5" customHeight="1" x14ac:dyDescent="0.25">
      <c r="A200" s="129" t="s">
        <v>161</v>
      </c>
      <c r="B200" s="129"/>
      <c r="C200" s="3" t="s">
        <v>93</v>
      </c>
      <c r="D200" s="3" t="s">
        <v>51</v>
      </c>
      <c r="E200" s="3" t="s">
        <v>162</v>
      </c>
      <c r="F200" s="3"/>
      <c r="G200" s="85">
        <f>G202+G204+G206</f>
        <v>3876.0214811750002</v>
      </c>
      <c r="H200" s="85">
        <f>H201</f>
        <v>5620.1</v>
      </c>
      <c r="I200" s="85">
        <f>I201</f>
        <v>-9.532</v>
      </c>
      <c r="J200" s="85">
        <f>J201</f>
        <v>5183.3959999999997</v>
      </c>
      <c r="O200" s="1">
        <f t="shared" si="22"/>
        <v>0</v>
      </c>
    </row>
    <row r="201" spans="1:15" s="1" customFormat="1" ht="16.5" customHeight="1" x14ac:dyDescent="0.25">
      <c r="A201" s="129" t="s">
        <v>97</v>
      </c>
      <c r="B201" s="129"/>
      <c r="C201" s="3" t="s">
        <v>93</v>
      </c>
      <c r="D201" s="3" t="s">
        <v>51</v>
      </c>
      <c r="E201" s="3" t="s">
        <v>586</v>
      </c>
      <c r="F201" s="3"/>
      <c r="G201" s="85"/>
      <c r="H201" s="85">
        <f>H202+H204+H206+H208+H210+H212</f>
        <v>5620.1</v>
      </c>
      <c r="I201" s="85">
        <f>I202+I204+I206+I208+I210+I212</f>
        <v>-9.532</v>
      </c>
      <c r="J201" s="85">
        <f>J202+J204+J206+J208+J210+J212</f>
        <v>5183.3959999999997</v>
      </c>
      <c r="O201" s="1">
        <f t="shared" si="22"/>
        <v>0</v>
      </c>
    </row>
    <row r="202" spans="1:15" s="1" customFormat="1" ht="30" customHeight="1" x14ac:dyDescent="0.25">
      <c r="A202" s="129" t="s">
        <v>587</v>
      </c>
      <c r="B202" s="129"/>
      <c r="C202" s="88" t="s">
        <v>93</v>
      </c>
      <c r="D202" s="88" t="s">
        <v>51</v>
      </c>
      <c r="E202" s="88" t="s">
        <v>163</v>
      </c>
      <c r="F202" s="3"/>
      <c r="G202" s="85">
        <f>G203</f>
        <v>3785.9254811750002</v>
      </c>
      <c r="H202" s="85">
        <f>H203</f>
        <v>3948.904</v>
      </c>
      <c r="I202" s="85">
        <f>I203</f>
        <v>0</v>
      </c>
      <c r="J202" s="85">
        <f>J203</f>
        <v>3599.8139999999999</v>
      </c>
      <c r="O202" s="1">
        <f t="shared" si="22"/>
        <v>0</v>
      </c>
    </row>
    <row r="203" spans="1:15" s="1" customFormat="1" ht="18.75" customHeight="1" x14ac:dyDescent="0.25">
      <c r="A203" s="55"/>
      <c r="B203" s="59" t="s">
        <v>101</v>
      </c>
      <c r="C203" s="3" t="s">
        <v>93</v>
      </c>
      <c r="D203" s="3" t="s">
        <v>51</v>
      </c>
      <c r="E203" s="3" t="s">
        <v>163</v>
      </c>
      <c r="F203" s="3" t="s">
        <v>102</v>
      </c>
      <c r="G203" s="85">
        <f>[1]Свод!L1051/1000</f>
        <v>3785.9254811750002</v>
      </c>
      <c r="H203" s="85">
        <v>3948.904</v>
      </c>
      <c r="I203" s="85"/>
      <c r="J203" s="85">
        <f>H203+I203-177.9-191.19+20</f>
        <v>3599.8139999999999</v>
      </c>
      <c r="K203" s="1">
        <v>-177.9</v>
      </c>
      <c r="N203" s="11">
        <f>J203+K203</f>
        <v>3421.9139999999998</v>
      </c>
      <c r="O203" s="1">
        <f t="shared" si="22"/>
        <v>173.49103980000001</v>
      </c>
    </row>
    <row r="204" spans="1:15" s="1" customFormat="1" ht="29.25" customHeight="1" x14ac:dyDescent="0.25">
      <c r="A204" s="129" t="s">
        <v>588</v>
      </c>
      <c r="B204" s="129"/>
      <c r="C204" s="88" t="s">
        <v>93</v>
      </c>
      <c r="D204" s="88" t="s">
        <v>51</v>
      </c>
      <c r="E204" s="88" t="s">
        <v>167</v>
      </c>
      <c r="F204" s="3"/>
      <c r="G204" s="85">
        <f>G205</f>
        <v>42</v>
      </c>
      <c r="H204" s="85">
        <f>H205</f>
        <v>42</v>
      </c>
      <c r="I204" s="85">
        <f>I205</f>
        <v>4.0999999999999996</v>
      </c>
      <c r="J204" s="85">
        <f>J205</f>
        <v>44.1</v>
      </c>
      <c r="O204" s="1">
        <f t="shared" si="22"/>
        <v>0</v>
      </c>
    </row>
    <row r="205" spans="1:15" s="1" customFormat="1" ht="18.75" customHeight="1" x14ac:dyDescent="0.25">
      <c r="A205" s="55"/>
      <c r="B205" s="59" t="s">
        <v>101</v>
      </c>
      <c r="C205" s="3" t="s">
        <v>93</v>
      </c>
      <c r="D205" s="3" t="s">
        <v>51</v>
      </c>
      <c r="E205" s="3" t="s">
        <v>167</v>
      </c>
      <c r="F205" s="3" t="s">
        <v>102</v>
      </c>
      <c r="G205" s="85">
        <f>[1]Свод!L954/1000</f>
        <v>42</v>
      </c>
      <c r="H205" s="85">
        <v>42</v>
      </c>
      <c r="I205" s="85">
        <v>4.0999999999999996</v>
      </c>
      <c r="J205" s="85">
        <f>H205+I205-2</f>
        <v>44.1</v>
      </c>
      <c r="K205" s="1">
        <v>-2</v>
      </c>
      <c r="O205" s="1">
        <f t="shared" ref="O205:O268" si="25">N205*5.07/100</f>
        <v>0</v>
      </c>
    </row>
    <row r="206" spans="1:15" s="1" customFormat="1" ht="30" customHeight="1" x14ac:dyDescent="0.25">
      <c r="A206" s="129" t="s">
        <v>589</v>
      </c>
      <c r="B206" s="129"/>
      <c r="C206" s="3" t="s">
        <v>93</v>
      </c>
      <c r="D206" s="3" t="s">
        <v>51</v>
      </c>
      <c r="E206" s="3" t="s">
        <v>590</v>
      </c>
      <c r="F206" s="3"/>
      <c r="G206" s="85">
        <f>G207</f>
        <v>48.095999999999997</v>
      </c>
      <c r="H206" s="85">
        <f>H207</f>
        <v>48.095999999999997</v>
      </c>
      <c r="I206" s="85">
        <f>I207</f>
        <v>-12.096</v>
      </c>
      <c r="J206" s="85">
        <f>J207</f>
        <v>36</v>
      </c>
      <c r="O206" s="1">
        <f t="shared" si="25"/>
        <v>0</v>
      </c>
    </row>
    <row r="207" spans="1:15" s="1" customFormat="1" ht="17.25" customHeight="1" x14ac:dyDescent="0.25">
      <c r="A207" s="55"/>
      <c r="B207" s="59" t="s">
        <v>101</v>
      </c>
      <c r="C207" s="88" t="s">
        <v>93</v>
      </c>
      <c r="D207" s="88" t="s">
        <v>51</v>
      </c>
      <c r="E207" s="88" t="s">
        <v>590</v>
      </c>
      <c r="F207" s="88" t="s">
        <v>102</v>
      </c>
      <c r="G207" s="85">
        <f>[1]Свод!L823/1000</f>
        <v>48.095999999999997</v>
      </c>
      <c r="H207" s="85">
        <v>48.095999999999997</v>
      </c>
      <c r="I207" s="85">
        <v>-12.096</v>
      </c>
      <c r="J207" s="85">
        <f>H207+I207</f>
        <v>36</v>
      </c>
      <c r="O207" s="1">
        <f t="shared" si="25"/>
        <v>0</v>
      </c>
    </row>
    <row r="208" spans="1:15" s="1" customFormat="1" ht="18" customHeight="1" x14ac:dyDescent="0.25">
      <c r="A208" s="129" t="s">
        <v>591</v>
      </c>
      <c r="B208" s="129"/>
      <c r="C208" s="88" t="s">
        <v>93</v>
      </c>
      <c r="D208" s="88" t="s">
        <v>51</v>
      </c>
      <c r="E208" s="88" t="s">
        <v>592</v>
      </c>
      <c r="F208" s="3"/>
      <c r="G208" s="85">
        <f>G209</f>
        <v>1315.5771485215002</v>
      </c>
      <c r="H208" s="85">
        <f>H209</f>
        <v>1545.5640000000001</v>
      </c>
      <c r="I208" s="85">
        <f>I209</f>
        <v>0</v>
      </c>
      <c r="J208" s="85">
        <f>J209</f>
        <v>1469.4820000000002</v>
      </c>
      <c r="O208" s="1">
        <f t="shared" si="25"/>
        <v>0</v>
      </c>
    </row>
    <row r="209" spans="1:15" s="1" customFormat="1" ht="18.75" customHeight="1" x14ac:dyDescent="0.25">
      <c r="A209" s="55"/>
      <c r="B209" s="59" t="s">
        <v>101</v>
      </c>
      <c r="C209" s="3" t="s">
        <v>93</v>
      </c>
      <c r="D209" s="3" t="s">
        <v>51</v>
      </c>
      <c r="E209" s="3" t="s">
        <v>592</v>
      </c>
      <c r="F209" s="3" t="s">
        <v>102</v>
      </c>
      <c r="G209" s="85">
        <f>[1]Свод!P1051/1000</f>
        <v>1315.5771485215002</v>
      </c>
      <c r="H209" s="85">
        <v>1545.5640000000001</v>
      </c>
      <c r="I209" s="85"/>
      <c r="J209" s="85">
        <f>H209+I209+2.4-78.482</f>
        <v>1469.4820000000002</v>
      </c>
      <c r="K209" s="1">
        <v>2.4</v>
      </c>
      <c r="N209" s="11">
        <f>J209+K209</f>
        <v>1471.8820000000003</v>
      </c>
      <c r="O209" s="1">
        <f t="shared" si="25"/>
        <v>74.624417400000027</v>
      </c>
    </row>
    <row r="210" spans="1:15" s="1" customFormat="1" ht="17.25" customHeight="1" x14ac:dyDescent="0.25">
      <c r="A210" s="129" t="s">
        <v>593</v>
      </c>
      <c r="B210" s="129"/>
      <c r="C210" s="88" t="s">
        <v>93</v>
      </c>
      <c r="D210" s="88" t="s">
        <v>51</v>
      </c>
      <c r="E210" s="88" t="s">
        <v>594</v>
      </c>
      <c r="F210" s="3"/>
      <c r="G210" s="85">
        <f>G211</f>
        <v>17.5</v>
      </c>
      <c r="H210" s="85">
        <f>H211</f>
        <v>17.5</v>
      </c>
      <c r="I210" s="85">
        <f>I211</f>
        <v>-1.5</v>
      </c>
      <c r="J210" s="85">
        <f>J211</f>
        <v>16</v>
      </c>
      <c r="O210" s="1">
        <f t="shared" si="25"/>
        <v>0</v>
      </c>
    </row>
    <row r="211" spans="1:15" s="1" customFormat="1" ht="18.75" customHeight="1" x14ac:dyDescent="0.25">
      <c r="A211" s="59"/>
      <c r="B211" s="59" t="s">
        <v>101</v>
      </c>
      <c r="C211" s="3" t="s">
        <v>93</v>
      </c>
      <c r="D211" s="3" t="s">
        <v>51</v>
      </c>
      <c r="E211" s="3" t="s">
        <v>594</v>
      </c>
      <c r="F211" s="3" t="s">
        <v>102</v>
      </c>
      <c r="G211" s="85">
        <f>[1]Свод!P954/1000</f>
        <v>17.5</v>
      </c>
      <c r="H211" s="85">
        <v>17.5</v>
      </c>
      <c r="I211" s="85">
        <v>-1.5</v>
      </c>
      <c r="J211" s="85">
        <f>H211+I211</f>
        <v>16</v>
      </c>
      <c r="O211" s="1">
        <f t="shared" si="25"/>
        <v>0</v>
      </c>
    </row>
    <row r="212" spans="1:15" s="1" customFormat="1" ht="17.25" customHeight="1" x14ac:dyDescent="0.25">
      <c r="A212" s="129" t="s">
        <v>595</v>
      </c>
      <c r="B212" s="129"/>
      <c r="C212" s="3" t="s">
        <v>93</v>
      </c>
      <c r="D212" s="3" t="s">
        <v>51</v>
      </c>
      <c r="E212" s="3" t="s">
        <v>596</v>
      </c>
      <c r="F212" s="3"/>
      <c r="G212" s="85">
        <f>G213</f>
        <v>18.036000000000001</v>
      </c>
      <c r="H212" s="85">
        <f>H213</f>
        <v>18.036000000000001</v>
      </c>
      <c r="I212" s="85">
        <f>I213</f>
        <v>-3.5999999999999997E-2</v>
      </c>
      <c r="J212" s="85">
        <f>J213</f>
        <v>18</v>
      </c>
      <c r="O212" s="1">
        <f t="shared" si="25"/>
        <v>0</v>
      </c>
    </row>
    <row r="213" spans="1:15" s="1" customFormat="1" ht="17.25" customHeight="1" x14ac:dyDescent="0.25">
      <c r="A213" s="59"/>
      <c r="B213" s="59" t="s">
        <v>101</v>
      </c>
      <c r="C213" s="88" t="s">
        <v>93</v>
      </c>
      <c r="D213" s="88" t="s">
        <v>51</v>
      </c>
      <c r="E213" s="88" t="s">
        <v>596</v>
      </c>
      <c r="F213" s="88" t="s">
        <v>102</v>
      </c>
      <c r="G213" s="85">
        <f>[1]Свод!P823/1000</f>
        <v>18.036000000000001</v>
      </c>
      <c r="H213" s="85">
        <v>18.036000000000001</v>
      </c>
      <c r="I213" s="85">
        <v>-3.5999999999999997E-2</v>
      </c>
      <c r="J213" s="85">
        <f>H213+I213</f>
        <v>18</v>
      </c>
      <c r="O213" s="1">
        <f t="shared" si="25"/>
        <v>0</v>
      </c>
    </row>
    <row r="214" spans="1:15" s="1" customFormat="1" ht="17.25" customHeight="1" x14ac:dyDescent="0.25">
      <c r="A214" s="137" t="s">
        <v>597</v>
      </c>
      <c r="B214" s="138"/>
      <c r="C214" s="88" t="s">
        <v>93</v>
      </c>
      <c r="D214" s="88" t="s">
        <v>51</v>
      </c>
      <c r="E214" s="88" t="s">
        <v>598</v>
      </c>
      <c r="F214" s="88"/>
      <c r="G214" s="85"/>
      <c r="H214" s="85">
        <f>H215</f>
        <v>0</v>
      </c>
      <c r="I214" s="85">
        <f>I215</f>
        <v>1584.8</v>
      </c>
      <c r="J214" s="85">
        <f>J215</f>
        <v>1584.8</v>
      </c>
      <c r="O214" s="1">
        <f t="shared" si="25"/>
        <v>0</v>
      </c>
    </row>
    <row r="215" spans="1:15" s="1" customFormat="1" ht="17.25" customHeight="1" x14ac:dyDescent="0.25">
      <c r="A215" s="137" t="s">
        <v>599</v>
      </c>
      <c r="B215" s="138"/>
      <c r="C215" s="88" t="s">
        <v>93</v>
      </c>
      <c r="D215" s="88" t="s">
        <v>51</v>
      </c>
      <c r="E215" s="88" t="s">
        <v>600</v>
      </c>
      <c r="F215" s="88"/>
      <c r="G215" s="85"/>
      <c r="H215" s="85">
        <f>H216+H218+H220+H222+H224</f>
        <v>0</v>
      </c>
      <c r="I215" s="85">
        <f>I216+I218+I220+I222+I224</f>
        <v>1584.8</v>
      </c>
      <c r="J215" s="85">
        <f>J216+J218+J220+J222+J224</f>
        <v>1584.8</v>
      </c>
      <c r="O215" s="1">
        <f t="shared" si="25"/>
        <v>0</v>
      </c>
    </row>
    <row r="216" spans="1:15" s="1" customFormat="1" ht="17.25" customHeight="1" x14ac:dyDescent="0.25">
      <c r="A216" s="137" t="s">
        <v>601</v>
      </c>
      <c r="B216" s="138"/>
      <c r="C216" s="88" t="s">
        <v>93</v>
      </c>
      <c r="D216" s="88" t="s">
        <v>51</v>
      </c>
      <c r="E216" s="88" t="s">
        <v>602</v>
      </c>
      <c r="F216" s="88"/>
      <c r="G216" s="85"/>
      <c r="H216" s="85">
        <f>H217</f>
        <v>0</v>
      </c>
      <c r="I216" s="85">
        <f>I217</f>
        <v>1149.8</v>
      </c>
      <c r="J216" s="85">
        <f>J217</f>
        <v>1149.8</v>
      </c>
      <c r="O216" s="1">
        <f t="shared" si="25"/>
        <v>0</v>
      </c>
    </row>
    <row r="217" spans="1:15" s="1" customFormat="1" ht="18.75" customHeight="1" x14ac:dyDescent="0.25">
      <c r="A217" s="59"/>
      <c r="B217" s="59" t="s">
        <v>101</v>
      </c>
      <c r="C217" s="3" t="s">
        <v>93</v>
      </c>
      <c r="D217" s="3" t="s">
        <v>51</v>
      </c>
      <c r="E217" s="3" t="s">
        <v>602</v>
      </c>
      <c r="F217" s="3" t="s">
        <v>102</v>
      </c>
      <c r="G217" s="85" t="e">
        <f>[1]Свод!P1059/1000</f>
        <v>#REF!</v>
      </c>
      <c r="H217" s="85"/>
      <c r="I217" s="85">
        <v>1149.8</v>
      </c>
      <c r="J217" s="85">
        <f>H217+I217</f>
        <v>1149.8</v>
      </c>
      <c r="O217" s="1">
        <f t="shared" si="25"/>
        <v>0</v>
      </c>
    </row>
    <row r="218" spans="1:15" s="1" customFormat="1" ht="17.25" customHeight="1" x14ac:dyDescent="0.25">
      <c r="A218" s="137" t="s">
        <v>603</v>
      </c>
      <c r="B218" s="138"/>
      <c r="C218" s="88" t="s">
        <v>93</v>
      </c>
      <c r="D218" s="88" t="s">
        <v>51</v>
      </c>
      <c r="E218" s="88" t="s">
        <v>604</v>
      </c>
      <c r="F218" s="88"/>
      <c r="G218" s="85"/>
      <c r="H218" s="85">
        <f>H219</f>
        <v>0</v>
      </c>
      <c r="I218" s="85">
        <f>I219</f>
        <v>156</v>
      </c>
      <c r="J218" s="85">
        <f>J219</f>
        <v>156</v>
      </c>
      <c r="O218" s="1">
        <f t="shared" si="25"/>
        <v>0</v>
      </c>
    </row>
    <row r="219" spans="1:15" s="1" customFormat="1" ht="18.75" customHeight="1" x14ac:dyDescent="0.25">
      <c r="A219" s="59"/>
      <c r="B219" s="59" t="s">
        <v>101</v>
      </c>
      <c r="C219" s="3" t="s">
        <v>93</v>
      </c>
      <c r="D219" s="3" t="s">
        <v>51</v>
      </c>
      <c r="E219" s="3" t="s">
        <v>604</v>
      </c>
      <c r="F219" s="3" t="s">
        <v>102</v>
      </c>
      <c r="G219" s="85" t="e">
        <f>[1]Свод!P1061/1000</f>
        <v>#REF!</v>
      </c>
      <c r="H219" s="85"/>
      <c r="I219" s="85">
        <v>156</v>
      </c>
      <c r="J219" s="85">
        <f>H219+I219</f>
        <v>156</v>
      </c>
      <c r="O219" s="1">
        <f t="shared" si="25"/>
        <v>0</v>
      </c>
    </row>
    <row r="220" spans="1:15" s="1" customFormat="1" ht="17.25" customHeight="1" x14ac:dyDescent="0.25">
      <c r="A220" s="137" t="s">
        <v>605</v>
      </c>
      <c r="B220" s="138"/>
      <c r="C220" s="88" t="s">
        <v>93</v>
      </c>
      <c r="D220" s="88" t="s">
        <v>51</v>
      </c>
      <c r="E220" s="88" t="s">
        <v>606</v>
      </c>
      <c r="F220" s="88"/>
      <c r="G220" s="85"/>
      <c r="H220" s="85">
        <f>H221</f>
        <v>0</v>
      </c>
      <c r="I220" s="85">
        <f>I221</f>
        <v>95</v>
      </c>
      <c r="J220" s="85">
        <f>J221</f>
        <v>95</v>
      </c>
      <c r="O220" s="1">
        <f t="shared" si="25"/>
        <v>0</v>
      </c>
    </row>
    <row r="221" spans="1:15" s="1" customFormat="1" ht="18.75" customHeight="1" x14ac:dyDescent="0.25">
      <c r="A221" s="59"/>
      <c r="B221" s="59" t="s">
        <v>101</v>
      </c>
      <c r="C221" s="3" t="s">
        <v>93</v>
      </c>
      <c r="D221" s="3" t="s">
        <v>51</v>
      </c>
      <c r="E221" s="3" t="s">
        <v>606</v>
      </c>
      <c r="F221" s="3" t="s">
        <v>102</v>
      </c>
      <c r="G221" s="85" t="e">
        <f>[1]Свод!P1063/1000</f>
        <v>#REF!</v>
      </c>
      <c r="H221" s="85"/>
      <c r="I221" s="85">
        <v>95</v>
      </c>
      <c r="J221" s="85">
        <f>H221+I221</f>
        <v>95</v>
      </c>
      <c r="O221" s="1">
        <f t="shared" si="25"/>
        <v>0</v>
      </c>
    </row>
    <row r="222" spans="1:15" s="1" customFormat="1" ht="17.25" customHeight="1" x14ac:dyDescent="0.25">
      <c r="A222" s="137" t="s">
        <v>607</v>
      </c>
      <c r="B222" s="138"/>
      <c r="C222" s="88" t="s">
        <v>93</v>
      </c>
      <c r="D222" s="88" t="s">
        <v>51</v>
      </c>
      <c r="E222" s="88" t="s">
        <v>608</v>
      </c>
      <c r="F222" s="88"/>
      <c r="G222" s="85"/>
      <c r="H222" s="85">
        <f>H223</f>
        <v>0</v>
      </c>
      <c r="I222" s="85">
        <f>I223</f>
        <v>45</v>
      </c>
      <c r="J222" s="85">
        <f>J223</f>
        <v>45</v>
      </c>
      <c r="O222" s="1">
        <f t="shared" si="25"/>
        <v>0</v>
      </c>
    </row>
    <row r="223" spans="1:15" s="1" customFormat="1" ht="18.75" customHeight="1" x14ac:dyDescent="0.25">
      <c r="A223" s="59"/>
      <c r="B223" s="59" t="s">
        <v>101</v>
      </c>
      <c r="C223" s="3" t="s">
        <v>93</v>
      </c>
      <c r="D223" s="3" t="s">
        <v>51</v>
      </c>
      <c r="E223" s="3" t="s">
        <v>608</v>
      </c>
      <c r="F223" s="3" t="s">
        <v>102</v>
      </c>
      <c r="G223" s="85" t="e">
        <f>[1]Свод!P1065/1000</f>
        <v>#REF!</v>
      </c>
      <c r="H223" s="85"/>
      <c r="I223" s="85">
        <v>45</v>
      </c>
      <c r="J223" s="85">
        <f>H223+I223</f>
        <v>45</v>
      </c>
      <c r="O223" s="1">
        <f t="shared" si="25"/>
        <v>0</v>
      </c>
    </row>
    <row r="224" spans="1:15" s="1" customFormat="1" ht="17.25" customHeight="1" x14ac:dyDescent="0.25">
      <c r="A224" s="137" t="s">
        <v>609</v>
      </c>
      <c r="B224" s="138"/>
      <c r="C224" s="88" t="s">
        <v>93</v>
      </c>
      <c r="D224" s="88" t="s">
        <v>51</v>
      </c>
      <c r="E224" s="88" t="s">
        <v>610</v>
      </c>
      <c r="F224" s="88"/>
      <c r="G224" s="85"/>
      <c r="H224" s="85">
        <f>H225</f>
        <v>0</v>
      </c>
      <c r="I224" s="85">
        <f>I225</f>
        <v>139</v>
      </c>
      <c r="J224" s="85">
        <f>J225</f>
        <v>139</v>
      </c>
      <c r="O224" s="1">
        <f t="shared" si="25"/>
        <v>0</v>
      </c>
    </row>
    <row r="225" spans="1:23" s="1" customFormat="1" ht="18.75" customHeight="1" x14ac:dyDescent="0.25">
      <c r="A225" s="59"/>
      <c r="B225" s="59" t="s">
        <v>101</v>
      </c>
      <c r="C225" s="3" t="s">
        <v>93</v>
      </c>
      <c r="D225" s="3" t="s">
        <v>51</v>
      </c>
      <c r="E225" s="3" t="s">
        <v>610</v>
      </c>
      <c r="F225" s="3" t="s">
        <v>102</v>
      </c>
      <c r="G225" s="85" t="e">
        <f>[1]Свод!P1067/1000</f>
        <v>#REF!</v>
      </c>
      <c r="H225" s="85"/>
      <c r="I225" s="85">
        <v>139</v>
      </c>
      <c r="J225" s="85">
        <f>H225+I225</f>
        <v>139</v>
      </c>
      <c r="O225" s="1">
        <f t="shared" si="25"/>
        <v>0</v>
      </c>
    </row>
    <row r="226" spans="1:23" s="1" customFormat="1" ht="15.75" customHeight="1" x14ac:dyDescent="0.25">
      <c r="A226" s="129" t="s">
        <v>169</v>
      </c>
      <c r="B226" s="129"/>
      <c r="C226" s="3" t="s">
        <v>93</v>
      </c>
      <c r="D226" s="3" t="s">
        <v>51</v>
      </c>
      <c r="E226" s="3" t="s">
        <v>170</v>
      </c>
      <c r="F226" s="3"/>
      <c r="G226" s="85">
        <f t="shared" ref="G226:J227" si="26">G227</f>
        <v>1430.1</v>
      </c>
      <c r="H226" s="85">
        <f t="shared" si="26"/>
        <v>1430.1</v>
      </c>
      <c r="I226" s="85">
        <f t="shared" si="26"/>
        <v>0</v>
      </c>
      <c r="J226" s="85">
        <f t="shared" si="26"/>
        <v>1430.1</v>
      </c>
      <c r="O226" s="1">
        <f t="shared" si="25"/>
        <v>0</v>
      </c>
    </row>
    <row r="227" spans="1:23" s="1" customFormat="1" ht="15.75" customHeight="1" x14ac:dyDescent="0.25">
      <c r="A227" s="129" t="s">
        <v>171</v>
      </c>
      <c r="B227" s="129"/>
      <c r="C227" s="3" t="s">
        <v>93</v>
      </c>
      <c r="D227" s="3" t="s">
        <v>51</v>
      </c>
      <c r="E227" s="3" t="s">
        <v>172</v>
      </c>
      <c r="F227" s="3"/>
      <c r="G227" s="85">
        <f t="shared" si="26"/>
        <v>1430.1</v>
      </c>
      <c r="H227" s="85">
        <f t="shared" si="26"/>
        <v>1430.1</v>
      </c>
      <c r="I227" s="85">
        <f t="shared" si="26"/>
        <v>0</v>
      </c>
      <c r="J227" s="85">
        <f t="shared" si="26"/>
        <v>1430.1</v>
      </c>
      <c r="O227" s="1">
        <f t="shared" si="25"/>
        <v>0</v>
      </c>
    </row>
    <row r="228" spans="1:23" s="1" customFormat="1" ht="17.25" customHeight="1" x14ac:dyDescent="0.25">
      <c r="A228" s="59"/>
      <c r="B228" s="59" t="s">
        <v>101</v>
      </c>
      <c r="C228" s="3" t="s">
        <v>93</v>
      </c>
      <c r="D228" s="3" t="s">
        <v>51</v>
      </c>
      <c r="E228" s="3" t="s">
        <v>172</v>
      </c>
      <c r="F228" s="3" t="s">
        <v>102</v>
      </c>
      <c r="G228" s="85">
        <f>[1]Свод!Q661/1000</f>
        <v>1430.1</v>
      </c>
      <c r="H228" s="85">
        <v>1430.1</v>
      </c>
      <c r="I228" s="85"/>
      <c r="J228" s="85">
        <f>H228+I228</f>
        <v>1430.1</v>
      </c>
      <c r="O228" s="1">
        <f t="shared" si="25"/>
        <v>0</v>
      </c>
    </row>
    <row r="229" spans="1:23" s="2" customFormat="1" ht="15" customHeight="1" x14ac:dyDescent="0.25">
      <c r="A229" s="129" t="s">
        <v>275</v>
      </c>
      <c r="B229" s="129"/>
      <c r="C229" s="88" t="s">
        <v>93</v>
      </c>
      <c r="D229" s="88" t="s">
        <v>51</v>
      </c>
      <c r="E229" s="88" t="s">
        <v>540</v>
      </c>
      <c r="F229" s="88"/>
      <c r="G229" s="63">
        <f>G230</f>
        <v>52399.791039999996</v>
      </c>
      <c r="H229" s="63">
        <f>H230</f>
        <v>52399.8</v>
      </c>
      <c r="I229" s="63">
        <f>I230</f>
        <v>1427.4</v>
      </c>
      <c r="J229" s="63">
        <f>J230</f>
        <v>53827.200000000004</v>
      </c>
      <c r="O229" s="1">
        <f t="shared" si="25"/>
        <v>0</v>
      </c>
    </row>
    <row r="230" spans="1:23" s="1" customFormat="1" ht="52.5" customHeight="1" x14ac:dyDescent="0.25">
      <c r="A230" s="129" t="s">
        <v>541</v>
      </c>
      <c r="B230" s="129"/>
      <c r="C230" s="3" t="s">
        <v>93</v>
      </c>
      <c r="D230" s="3" t="s">
        <v>51</v>
      </c>
      <c r="E230" s="3" t="s">
        <v>542</v>
      </c>
      <c r="F230" s="3"/>
      <c r="G230" s="85">
        <f>G231+G233+G235</f>
        <v>52399.791039999996</v>
      </c>
      <c r="H230" s="85">
        <f>H231+H233+H235</f>
        <v>52399.8</v>
      </c>
      <c r="I230" s="85">
        <f>I231+I233+I235</f>
        <v>1427.4</v>
      </c>
      <c r="J230" s="85">
        <f>J231+J233+J235</f>
        <v>53827.200000000004</v>
      </c>
      <c r="L230" s="14"/>
      <c r="M230" s="14"/>
      <c r="O230" s="1">
        <f t="shared" si="25"/>
        <v>0</v>
      </c>
      <c r="Q230" s="15"/>
      <c r="V230" s="11"/>
      <c r="W230" s="11"/>
    </row>
    <row r="231" spans="1:23" s="1" customFormat="1" ht="27.75" customHeight="1" x14ac:dyDescent="0.25">
      <c r="A231" s="129" t="s">
        <v>177</v>
      </c>
      <c r="B231" s="129"/>
      <c r="C231" s="3" t="s">
        <v>93</v>
      </c>
      <c r="D231" s="3" t="s">
        <v>51</v>
      </c>
      <c r="E231" s="3" t="s">
        <v>611</v>
      </c>
      <c r="F231" s="3"/>
      <c r="G231" s="85">
        <f>G232</f>
        <v>46582</v>
      </c>
      <c r="H231" s="85">
        <f>H232</f>
        <v>46582</v>
      </c>
      <c r="I231" s="85">
        <f>I232</f>
        <v>1657.4</v>
      </c>
      <c r="J231" s="85">
        <f>J232</f>
        <v>48239.4</v>
      </c>
      <c r="L231" s="14"/>
      <c r="M231" s="14"/>
      <c r="O231" s="1">
        <f t="shared" si="25"/>
        <v>0</v>
      </c>
      <c r="Q231" s="15"/>
      <c r="V231" s="11"/>
      <c r="W231" s="11"/>
    </row>
    <row r="232" spans="1:23" s="1" customFormat="1" ht="16.5" customHeight="1" x14ac:dyDescent="0.25">
      <c r="A232" s="55"/>
      <c r="B232" s="59" t="s">
        <v>101</v>
      </c>
      <c r="C232" s="3" t="s">
        <v>93</v>
      </c>
      <c r="D232" s="3" t="s">
        <v>51</v>
      </c>
      <c r="E232" s="3" t="s">
        <v>611</v>
      </c>
      <c r="F232" s="3" t="s">
        <v>102</v>
      </c>
      <c r="G232" s="85">
        <f>[1]Свод!J629/1000</f>
        <v>46582</v>
      </c>
      <c r="H232" s="85">
        <v>46582</v>
      </c>
      <c r="I232" s="85">
        <v>1657.4</v>
      </c>
      <c r="J232" s="85">
        <f>H232+I232</f>
        <v>48239.4</v>
      </c>
      <c r="L232" s="14"/>
      <c r="M232" s="14"/>
      <c r="O232" s="1">
        <f t="shared" si="25"/>
        <v>0</v>
      </c>
      <c r="Q232" s="15"/>
      <c r="V232" s="11"/>
      <c r="W232" s="11"/>
    </row>
    <row r="233" spans="1:23" s="1" customFormat="1" ht="41.25" customHeight="1" x14ac:dyDescent="0.25">
      <c r="A233" s="129" t="s">
        <v>580</v>
      </c>
      <c r="B233" s="129"/>
      <c r="C233" s="3" t="s">
        <v>93</v>
      </c>
      <c r="D233" s="3" t="s">
        <v>51</v>
      </c>
      <c r="E233" s="3" t="s">
        <v>581</v>
      </c>
      <c r="F233" s="3"/>
      <c r="G233" s="85">
        <f>G234</f>
        <v>24</v>
      </c>
      <c r="H233" s="85">
        <f>H234</f>
        <v>24</v>
      </c>
      <c r="I233" s="85">
        <f>I234</f>
        <v>0</v>
      </c>
      <c r="J233" s="85">
        <f>J234</f>
        <v>24</v>
      </c>
      <c r="L233" s="14"/>
      <c r="M233" s="14"/>
      <c r="O233" s="1">
        <f t="shared" si="25"/>
        <v>0</v>
      </c>
      <c r="Q233" s="15"/>
      <c r="V233" s="11"/>
      <c r="W233" s="11"/>
    </row>
    <row r="234" spans="1:23" s="1" customFormat="1" ht="16.5" customHeight="1" x14ac:dyDescent="0.25">
      <c r="A234" s="55"/>
      <c r="B234" s="59" t="s">
        <v>101</v>
      </c>
      <c r="C234" s="3" t="s">
        <v>93</v>
      </c>
      <c r="D234" s="3" t="s">
        <v>51</v>
      </c>
      <c r="E234" s="3" t="s">
        <v>581</v>
      </c>
      <c r="F234" s="3" t="s">
        <v>102</v>
      </c>
      <c r="G234" s="85">
        <f>([1]Свод!L693+[1]Свод!R693+[1]Свод!S693++[1]Свод!T693+[1]Свод!U693)/1000</f>
        <v>24</v>
      </c>
      <c r="H234" s="85">
        <v>24</v>
      </c>
      <c r="I234" s="85"/>
      <c r="J234" s="85">
        <f>H234+I234</f>
        <v>24</v>
      </c>
      <c r="O234" s="1">
        <f t="shared" si="25"/>
        <v>0</v>
      </c>
    </row>
    <row r="235" spans="1:23" s="1" customFormat="1" ht="66" customHeight="1" x14ac:dyDescent="0.25">
      <c r="A235" s="129" t="s">
        <v>582</v>
      </c>
      <c r="B235" s="129"/>
      <c r="C235" s="3" t="s">
        <v>93</v>
      </c>
      <c r="D235" s="3" t="s">
        <v>51</v>
      </c>
      <c r="E235" s="3" t="s">
        <v>583</v>
      </c>
      <c r="F235" s="3"/>
      <c r="G235" s="85">
        <f>G236</f>
        <v>5793.7910399999992</v>
      </c>
      <c r="H235" s="85">
        <f>H236</f>
        <v>5793.8</v>
      </c>
      <c r="I235" s="85">
        <f>I236</f>
        <v>-230</v>
      </c>
      <c r="J235" s="85">
        <f>J236</f>
        <v>5563.8</v>
      </c>
      <c r="O235" s="1">
        <f t="shared" si="25"/>
        <v>0</v>
      </c>
    </row>
    <row r="236" spans="1:23" s="1" customFormat="1" ht="18" customHeight="1" x14ac:dyDescent="0.25">
      <c r="A236" s="55"/>
      <c r="B236" s="59" t="s">
        <v>101</v>
      </c>
      <c r="C236" s="3" t="s">
        <v>93</v>
      </c>
      <c r="D236" s="3" t="s">
        <v>51</v>
      </c>
      <c r="E236" s="3" t="s">
        <v>583</v>
      </c>
      <c r="F236" s="3" t="s">
        <v>102</v>
      </c>
      <c r="G236" s="85">
        <f>([1]Свод!L725+[1]Свод!P725+[1]Свод!Q725+[1]Свод!R725+[1]Свод!S725+[1]Свод!T725+[1]Свод!U725)/1000</f>
        <v>5793.7910399999992</v>
      </c>
      <c r="H236" s="85">
        <v>5793.8</v>
      </c>
      <c r="I236" s="85">
        <v>-230</v>
      </c>
      <c r="J236" s="85">
        <f>H236+I236</f>
        <v>5563.8</v>
      </c>
      <c r="O236" s="1">
        <f t="shared" si="25"/>
        <v>0</v>
      </c>
    </row>
    <row r="237" spans="1:23" s="1" customFormat="1" ht="27" customHeight="1" x14ac:dyDescent="0.25">
      <c r="A237" s="129" t="s">
        <v>173</v>
      </c>
      <c r="B237" s="129"/>
      <c r="C237" s="88" t="s">
        <v>93</v>
      </c>
      <c r="D237" s="88" t="s">
        <v>51</v>
      </c>
      <c r="E237" s="88" t="s">
        <v>174</v>
      </c>
      <c r="F237" s="89"/>
      <c r="G237" s="63">
        <f>G238</f>
        <v>5000</v>
      </c>
      <c r="H237" s="63">
        <f>H238</f>
        <v>10000</v>
      </c>
      <c r="I237" s="63">
        <f>I238</f>
        <v>0</v>
      </c>
      <c r="J237" s="63">
        <f>J238</f>
        <v>10000</v>
      </c>
      <c r="O237" s="1">
        <f t="shared" si="25"/>
        <v>0</v>
      </c>
    </row>
    <row r="238" spans="1:23" s="1" customFormat="1" ht="18" customHeight="1" x14ac:dyDescent="0.25">
      <c r="A238" s="129" t="s">
        <v>175</v>
      </c>
      <c r="B238" s="129"/>
      <c r="C238" s="3" t="s">
        <v>93</v>
      </c>
      <c r="D238" s="3" t="s">
        <v>51</v>
      </c>
      <c r="E238" s="3" t="s">
        <v>612</v>
      </c>
      <c r="F238" s="78"/>
      <c r="G238" s="85">
        <f t="shared" ref="G238:J239" si="27">G239</f>
        <v>5000</v>
      </c>
      <c r="H238" s="85">
        <f t="shared" si="27"/>
        <v>10000</v>
      </c>
      <c r="I238" s="85">
        <f t="shared" si="27"/>
        <v>0</v>
      </c>
      <c r="J238" s="85">
        <f t="shared" si="27"/>
        <v>10000</v>
      </c>
      <c r="O238" s="1">
        <f t="shared" si="25"/>
        <v>0</v>
      </c>
    </row>
    <row r="239" spans="1:23" s="1" customFormat="1" ht="42" customHeight="1" x14ac:dyDescent="0.25">
      <c r="A239" s="129" t="s">
        <v>613</v>
      </c>
      <c r="B239" s="129"/>
      <c r="C239" s="3" t="s">
        <v>93</v>
      </c>
      <c r="D239" s="3" t="s">
        <v>51</v>
      </c>
      <c r="E239" s="3" t="s">
        <v>176</v>
      </c>
      <c r="F239" s="78"/>
      <c r="G239" s="85">
        <f>G240</f>
        <v>5000</v>
      </c>
      <c r="H239" s="85">
        <f t="shared" si="27"/>
        <v>10000</v>
      </c>
      <c r="I239" s="85">
        <f t="shared" si="27"/>
        <v>0</v>
      </c>
      <c r="J239" s="85">
        <f t="shared" si="27"/>
        <v>10000</v>
      </c>
      <c r="O239" s="1">
        <f t="shared" si="25"/>
        <v>0</v>
      </c>
    </row>
    <row r="240" spans="1:23" s="1" customFormat="1" ht="18" customHeight="1" x14ac:dyDescent="0.25">
      <c r="A240" s="84"/>
      <c r="B240" s="84" t="s">
        <v>90</v>
      </c>
      <c r="C240" s="88" t="s">
        <v>93</v>
      </c>
      <c r="D240" s="88" t="s">
        <v>51</v>
      </c>
      <c r="E240" s="88" t="s">
        <v>176</v>
      </c>
      <c r="F240" s="89" t="s">
        <v>91</v>
      </c>
      <c r="G240" s="85">
        <v>5000</v>
      </c>
      <c r="H240" s="55">
        <v>10000</v>
      </c>
      <c r="I240" s="85"/>
      <c r="J240" s="85">
        <f>H240+I240</f>
        <v>10000</v>
      </c>
      <c r="O240" s="1">
        <f t="shared" si="25"/>
        <v>0</v>
      </c>
    </row>
    <row r="241" spans="1:15" s="6" customFormat="1" ht="17.25" customHeight="1" x14ac:dyDescent="0.25">
      <c r="A241" s="128" t="s">
        <v>178</v>
      </c>
      <c r="B241" s="128"/>
      <c r="C241" s="81" t="s">
        <v>93</v>
      </c>
      <c r="D241" s="81" t="s">
        <v>93</v>
      </c>
      <c r="E241" s="81"/>
      <c r="F241" s="81"/>
      <c r="G241" s="86">
        <f t="shared" ref="G241:J243" si="28">G242</f>
        <v>90</v>
      </c>
      <c r="H241" s="86">
        <f t="shared" si="28"/>
        <v>90</v>
      </c>
      <c r="I241" s="86">
        <f t="shared" si="28"/>
        <v>0</v>
      </c>
      <c r="J241" s="86">
        <f t="shared" si="28"/>
        <v>85.5</v>
      </c>
      <c r="O241" s="1">
        <f t="shared" si="25"/>
        <v>0</v>
      </c>
    </row>
    <row r="242" spans="1:15" s="1" customFormat="1" ht="18" customHeight="1" x14ac:dyDescent="0.25">
      <c r="A242" s="129" t="s">
        <v>243</v>
      </c>
      <c r="B242" s="129"/>
      <c r="C242" s="3" t="s">
        <v>93</v>
      </c>
      <c r="D242" s="3" t="s">
        <v>93</v>
      </c>
      <c r="E242" s="3" t="s">
        <v>244</v>
      </c>
      <c r="F242" s="3"/>
      <c r="G242" s="85">
        <f t="shared" si="28"/>
        <v>90</v>
      </c>
      <c r="H242" s="85">
        <f t="shared" si="28"/>
        <v>90</v>
      </c>
      <c r="I242" s="85">
        <f t="shared" si="28"/>
        <v>0</v>
      </c>
      <c r="J242" s="85">
        <f t="shared" si="28"/>
        <v>85.5</v>
      </c>
      <c r="O242" s="1">
        <f t="shared" si="25"/>
        <v>0</v>
      </c>
    </row>
    <row r="243" spans="1:15" s="1" customFormat="1" ht="26.25" customHeight="1" x14ac:dyDescent="0.25">
      <c r="A243" s="129" t="s">
        <v>614</v>
      </c>
      <c r="B243" s="129"/>
      <c r="C243" s="3" t="s">
        <v>93</v>
      </c>
      <c r="D243" s="3" t="s">
        <v>93</v>
      </c>
      <c r="E243" s="3" t="s">
        <v>615</v>
      </c>
      <c r="F243" s="3"/>
      <c r="G243" s="85">
        <f t="shared" si="28"/>
        <v>90</v>
      </c>
      <c r="H243" s="85">
        <f t="shared" si="28"/>
        <v>90</v>
      </c>
      <c r="I243" s="85">
        <f t="shared" si="28"/>
        <v>0</v>
      </c>
      <c r="J243" s="85">
        <f t="shared" si="28"/>
        <v>85.5</v>
      </c>
      <c r="O243" s="1">
        <f t="shared" si="25"/>
        <v>0</v>
      </c>
    </row>
    <row r="244" spans="1:15" s="1" customFormat="1" ht="17.25" customHeight="1" x14ac:dyDescent="0.25">
      <c r="A244" s="55"/>
      <c r="B244" s="59" t="s">
        <v>179</v>
      </c>
      <c r="C244" s="3" t="s">
        <v>93</v>
      </c>
      <c r="D244" s="3" t="s">
        <v>93</v>
      </c>
      <c r="E244" s="3" t="s">
        <v>615</v>
      </c>
      <c r="F244" s="3" t="s">
        <v>180</v>
      </c>
      <c r="G244" s="85">
        <f>[1]Свод!N1180/1000</f>
        <v>90</v>
      </c>
      <c r="H244" s="85">
        <v>90</v>
      </c>
      <c r="I244" s="85"/>
      <c r="J244" s="85">
        <f>H244+I244-4.5</f>
        <v>85.5</v>
      </c>
      <c r="O244" s="1">
        <f t="shared" si="25"/>
        <v>0</v>
      </c>
    </row>
    <row r="245" spans="1:15" s="6" customFormat="1" ht="15.75" customHeight="1" x14ac:dyDescent="0.25">
      <c r="A245" s="128" t="s">
        <v>181</v>
      </c>
      <c r="B245" s="128"/>
      <c r="C245" s="81" t="s">
        <v>93</v>
      </c>
      <c r="D245" s="81" t="s">
        <v>64</v>
      </c>
      <c r="E245" s="81"/>
      <c r="F245" s="81"/>
      <c r="G245" s="86" t="e">
        <f>G246+G253+G259+G267+G276</f>
        <v>#REF!</v>
      </c>
      <c r="H245" s="86">
        <f>H246+H250+H253+H259+H267+H271+H276</f>
        <v>6842.2000000000007</v>
      </c>
      <c r="I245" s="86">
        <f>I246+I250+I253+I259+I267+I271+I276</f>
        <v>2478.9029999999998</v>
      </c>
      <c r="J245" s="86">
        <f>J246+J250+J253+J259+J267+J271+J276</f>
        <v>8791.0630000000001</v>
      </c>
      <c r="O245" s="1">
        <f t="shared" si="25"/>
        <v>0</v>
      </c>
    </row>
    <row r="246" spans="1:15" s="1" customFormat="1" ht="42" customHeight="1" x14ac:dyDescent="0.25">
      <c r="A246" s="129" t="s">
        <v>9</v>
      </c>
      <c r="B246" s="129"/>
      <c r="C246" s="3" t="s">
        <v>93</v>
      </c>
      <c r="D246" s="3" t="s">
        <v>64</v>
      </c>
      <c r="E246" s="3" t="s">
        <v>19</v>
      </c>
      <c r="F246" s="3"/>
      <c r="G246" s="85">
        <f t="shared" ref="G246:J248" si="29">G247</f>
        <v>539.6853000000001</v>
      </c>
      <c r="H246" s="85">
        <f t="shared" si="29"/>
        <v>703.5</v>
      </c>
      <c r="I246" s="85">
        <f t="shared" si="29"/>
        <v>0</v>
      </c>
      <c r="J246" s="85">
        <f t="shared" si="29"/>
        <v>726.404</v>
      </c>
      <c r="O246" s="1">
        <f t="shared" si="25"/>
        <v>0</v>
      </c>
    </row>
    <row r="247" spans="1:15" s="1" customFormat="1" ht="12.75" customHeight="1" x14ac:dyDescent="0.25">
      <c r="A247" s="129" t="s">
        <v>11</v>
      </c>
      <c r="B247" s="129"/>
      <c r="C247" s="3" t="s">
        <v>93</v>
      </c>
      <c r="D247" s="3" t="s">
        <v>64</v>
      </c>
      <c r="E247" s="3" t="s">
        <v>12</v>
      </c>
      <c r="F247" s="3"/>
      <c r="G247" s="85">
        <f t="shared" si="29"/>
        <v>539.6853000000001</v>
      </c>
      <c r="H247" s="85">
        <f t="shared" si="29"/>
        <v>703.5</v>
      </c>
      <c r="I247" s="85">
        <f t="shared" si="29"/>
        <v>0</v>
      </c>
      <c r="J247" s="85">
        <f t="shared" si="29"/>
        <v>726.404</v>
      </c>
      <c r="O247" s="1">
        <f t="shared" si="25"/>
        <v>0</v>
      </c>
    </row>
    <row r="248" spans="1:15" s="1" customFormat="1" ht="15.75" customHeight="1" x14ac:dyDescent="0.25">
      <c r="A248" s="129" t="s">
        <v>616</v>
      </c>
      <c r="B248" s="129"/>
      <c r="C248" s="3" t="s">
        <v>93</v>
      </c>
      <c r="D248" s="3" t="s">
        <v>64</v>
      </c>
      <c r="E248" s="3" t="s">
        <v>182</v>
      </c>
      <c r="F248" s="3"/>
      <c r="G248" s="85">
        <f t="shared" si="29"/>
        <v>539.6853000000001</v>
      </c>
      <c r="H248" s="85">
        <f t="shared" si="29"/>
        <v>703.5</v>
      </c>
      <c r="I248" s="85">
        <f t="shared" si="29"/>
        <v>0</v>
      </c>
      <c r="J248" s="85">
        <f>J249</f>
        <v>726.404</v>
      </c>
      <c r="K248" s="1">
        <v>61.7</v>
      </c>
      <c r="N248" s="11">
        <f>J248+K248</f>
        <v>788.10400000000004</v>
      </c>
      <c r="O248" s="1">
        <f t="shared" si="25"/>
        <v>39.956872800000006</v>
      </c>
    </row>
    <row r="249" spans="1:15" s="1" customFormat="1" ht="15.75" customHeight="1" x14ac:dyDescent="0.25">
      <c r="A249" s="55"/>
      <c r="B249" s="84" t="s">
        <v>40</v>
      </c>
      <c r="C249" s="3" t="s">
        <v>93</v>
      </c>
      <c r="D249" s="3" t="s">
        <v>64</v>
      </c>
      <c r="E249" s="3" t="s">
        <v>182</v>
      </c>
      <c r="F249" s="3" t="s">
        <v>41</v>
      </c>
      <c r="G249" s="85">
        <f>[1]Свод!J1147/1000</f>
        <v>539.6853000000001</v>
      </c>
      <c r="H249" s="85">
        <f>539.7+163.8</f>
        <v>703.5</v>
      </c>
      <c r="I249" s="85"/>
      <c r="J249" s="85">
        <v>726.404</v>
      </c>
      <c r="O249" s="1">
        <f t="shared" si="25"/>
        <v>0</v>
      </c>
    </row>
    <row r="250" spans="1:15" s="1" customFormat="1" ht="15.75" customHeight="1" x14ac:dyDescent="0.25">
      <c r="A250" s="139" t="s">
        <v>617</v>
      </c>
      <c r="B250" s="140"/>
      <c r="C250" s="3" t="s">
        <v>93</v>
      </c>
      <c r="D250" s="3" t="s">
        <v>64</v>
      </c>
      <c r="E250" s="3" t="s">
        <v>618</v>
      </c>
      <c r="F250" s="3"/>
      <c r="G250" s="85"/>
      <c r="H250" s="85">
        <f t="shared" ref="H250:J251" si="30">H251</f>
        <v>0</v>
      </c>
      <c r="I250" s="85">
        <f t="shared" si="30"/>
        <v>561.6</v>
      </c>
      <c r="J250" s="85">
        <f t="shared" si="30"/>
        <v>561.6</v>
      </c>
      <c r="O250" s="1">
        <f t="shared" si="25"/>
        <v>0</v>
      </c>
    </row>
    <row r="251" spans="1:15" s="1" customFormat="1" ht="15.75" customHeight="1" x14ac:dyDescent="0.25">
      <c r="A251" s="139" t="s">
        <v>619</v>
      </c>
      <c r="B251" s="140"/>
      <c r="C251" s="3" t="s">
        <v>93</v>
      </c>
      <c r="D251" s="3" t="s">
        <v>64</v>
      </c>
      <c r="E251" s="3" t="s">
        <v>620</v>
      </c>
      <c r="F251" s="3"/>
      <c r="G251" s="85"/>
      <c r="H251" s="85">
        <f t="shared" si="30"/>
        <v>0</v>
      </c>
      <c r="I251" s="85">
        <f t="shared" si="30"/>
        <v>561.6</v>
      </c>
      <c r="J251" s="85">
        <f t="shared" si="30"/>
        <v>561.6</v>
      </c>
      <c r="O251" s="1">
        <f t="shared" si="25"/>
        <v>0</v>
      </c>
    </row>
    <row r="252" spans="1:15" s="1" customFormat="1" ht="15.75" customHeight="1" x14ac:dyDescent="0.25">
      <c r="A252" s="55"/>
      <c r="B252" s="84" t="s">
        <v>40</v>
      </c>
      <c r="C252" s="3" t="s">
        <v>93</v>
      </c>
      <c r="D252" s="3" t="s">
        <v>64</v>
      </c>
      <c r="E252" s="3" t="s">
        <v>620</v>
      </c>
      <c r="F252" s="3" t="s">
        <v>102</v>
      </c>
      <c r="G252" s="85" t="e">
        <f>[1]Свод!J1078/1000</f>
        <v>#REF!</v>
      </c>
      <c r="H252" s="85"/>
      <c r="I252" s="85">
        <v>561.6</v>
      </c>
      <c r="J252" s="85">
        <f>H252+I252</f>
        <v>561.6</v>
      </c>
      <c r="O252" s="1">
        <f t="shared" si="25"/>
        <v>0</v>
      </c>
    </row>
    <row r="253" spans="1:15" s="1" customFormat="1" ht="17.25" customHeight="1" x14ac:dyDescent="0.25">
      <c r="A253" s="129" t="s">
        <v>183</v>
      </c>
      <c r="B253" s="129"/>
      <c r="C253" s="3" t="s">
        <v>93</v>
      </c>
      <c r="D253" s="3" t="s">
        <v>64</v>
      </c>
      <c r="E253" s="3" t="s">
        <v>184</v>
      </c>
      <c r="F253" s="3"/>
      <c r="G253" s="85">
        <f>G254</f>
        <v>387.73956345000011</v>
      </c>
      <c r="H253" s="85">
        <f>H254</f>
        <v>387.7</v>
      </c>
      <c r="I253" s="85">
        <f>I254</f>
        <v>0</v>
      </c>
      <c r="J253" s="85">
        <f>J254</f>
        <v>340.065</v>
      </c>
      <c r="O253" s="1">
        <f t="shared" si="25"/>
        <v>0</v>
      </c>
    </row>
    <row r="254" spans="1:15" s="1" customFormat="1" ht="16.5" customHeight="1" x14ac:dyDescent="0.25">
      <c r="A254" s="129" t="s">
        <v>97</v>
      </c>
      <c r="B254" s="129"/>
      <c r="C254" s="3" t="s">
        <v>93</v>
      </c>
      <c r="D254" s="3" t="s">
        <v>64</v>
      </c>
      <c r="E254" s="3" t="s">
        <v>185</v>
      </c>
      <c r="F254" s="3"/>
      <c r="G254" s="85">
        <f>G255+G257</f>
        <v>387.73956345000011</v>
      </c>
      <c r="H254" s="85">
        <f>H255+H257</f>
        <v>387.7</v>
      </c>
      <c r="I254" s="85">
        <f>I255+I257</f>
        <v>0</v>
      </c>
      <c r="J254" s="85">
        <f>J255+J257</f>
        <v>340.065</v>
      </c>
      <c r="O254" s="1">
        <f t="shared" si="25"/>
        <v>0</v>
      </c>
    </row>
    <row r="255" spans="1:15" s="1" customFormat="1" ht="28.5" customHeight="1" x14ac:dyDescent="0.25">
      <c r="A255" s="129" t="s">
        <v>186</v>
      </c>
      <c r="B255" s="129"/>
      <c r="C255" s="3" t="s">
        <v>93</v>
      </c>
      <c r="D255" s="3" t="s">
        <v>64</v>
      </c>
      <c r="E255" s="3" t="s">
        <v>187</v>
      </c>
      <c r="F255" s="3"/>
      <c r="G255" s="85">
        <f>G256</f>
        <v>379.72356345000009</v>
      </c>
      <c r="H255" s="85">
        <f>H256</f>
        <v>379.7</v>
      </c>
      <c r="I255" s="85">
        <f>I256</f>
        <v>0</v>
      </c>
      <c r="J255" s="85">
        <f>J256</f>
        <v>332.065</v>
      </c>
      <c r="O255" s="1">
        <f t="shared" si="25"/>
        <v>0</v>
      </c>
    </row>
    <row r="256" spans="1:15" s="1" customFormat="1" ht="15.75" customHeight="1" x14ac:dyDescent="0.25">
      <c r="A256" s="55"/>
      <c r="B256" s="84" t="s">
        <v>40</v>
      </c>
      <c r="C256" s="3" t="s">
        <v>93</v>
      </c>
      <c r="D256" s="3" t="s">
        <v>64</v>
      </c>
      <c r="E256" s="3" t="s">
        <v>188</v>
      </c>
      <c r="F256" s="3" t="s">
        <v>102</v>
      </c>
      <c r="G256" s="85">
        <f>[1]Свод!J1083/1000</f>
        <v>379.72356345000009</v>
      </c>
      <c r="H256" s="85">
        <v>379.7</v>
      </c>
      <c r="I256" s="85"/>
      <c r="J256" s="85">
        <f>H256+I256-29.9-17.735</f>
        <v>332.065</v>
      </c>
      <c r="K256" s="1">
        <v>-29.9</v>
      </c>
      <c r="N256" s="11">
        <f>J256+K256</f>
        <v>302.16500000000002</v>
      </c>
      <c r="O256" s="1">
        <f t="shared" si="25"/>
        <v>15.319765500000001</v>
      </c>
    </row>
    <row r="257" spans="1:15" s="1" customFormat="1" ht="29.25" customHeight="1" x14ac:dyDescent="0.25">
      <c r="A257" s="129" t="s">
        <v>189</v>
      </c>
      <c r="B257" s="129"/>
      <c r="C257" s="3" t="s">
        <v>93</v>
      </c>
      <c r="D257" s="3" t="s">
        <v>64</v>
      </c>
      <c r="E257" s="3" t="s">
        <v>190</v>
      </c>
      <c r="F257" s="3"/>
      <c r="G257" s="85">
        <f>G258</f>
        <v>8.016</v>
      </c>
      <c r="H257" s="85">
        <f>H258</f>
        <v>8</v>
      </c>
      <c r="I257" s="85">
        <f>I258</f>
        <v>0</v>
      </c>
      <c r="J257" s="85">
        <f>J258</f>
        <v>8</v>
      </c>
      <c r="O257" s="1">
        <f t="shared" si="25"/>
        <v>0</v>
      </c>
    </row>
    <row r="258" spans="1:15" s="1" customFormat="1" ht="17.25" customHeight="1" x14ac:dyDescent="0.25">
      <c r="A258" s="55"/>
      <c r="B258" s="59" t="s">
        <v>101</v>
      </c>
      <c r="C258" s="88" t="s">
        <v>93</v>
      </c>
      <c r="D258" s="88" t="s">
        <v>64</v>
      </c>
      <c r="E258" s="3" t="s">
        <v>190</v>
      </c>
      <c r="F258" s="88" t="s">
        <v>102</v>
      </c>
      <c r="G258" s="85">
        <f>[1]Свод!M823/1000</f>
        <v>8.016</v>
      </c>
      <c r="H258" s="85">
        <v>8</v>
      </c>
      <c r="I258" s="85"/>
      <c r="J258" s="85">
        <f>H258+I258</f>
        <v>8</v>
      </c>
      <c r="O258" s="1">
        <f t="shared" si="25"/>
        <v>0</v>
      </c>
    </row>
    <row r="259" spans="1:15" s="1" customFormat="1" ht="41.25" customHeight="1" x14ac:dyDescent="0.25">
      <c r="A259" s="129" t="s">
        <v>191</v>
      </c>
      <c r="B259" s="129"/>
      <c r="C259" s="3" t="s">
        <v>93</v>
      </c>
      <c r="D259" s="3" t="s">
        <v>64</v>
      </c>
      <c r="E259" s="3" t="s">
        <v>192</v>
      </c>
      <c r="F259" s="3"/>
      <c r="G259" s="85">
        <f>G260</f>
        <v>3327.8724791000004</v>
      </c>
      <c r="H259" s="85">
        <f>H260</f>
        <v>3527.9</v>
      </c>
      <c r="I259" s="85">
        <f>I260</f>
        <v>1589.232</v>
      </c>
      <c r="J259" s="85">
        <f>J260</f>
        <v>4637.3760000000002</v>
      </c>
      <c r="O259" s="1">
        <f t="shared" si="25"/>
        <v>0</v>
      </c>
    </row>
    <row r="260" spans="1:15" s="1" customFormat="1" ht="15" customHeight="1" x14ac:dyDescent="0.25">
      <c r="A260" s="129" t="s">
        <v>97</v>
      </c>
      <c r="B260" s="129"/>
      <c r="C260" s="3" t="s">
        <v>93</v>
      </c>
      <c r="D260" s="3" t="s">
        <v>64</v>
      </c>
      <c r="E260" s="3" t="s">
        <v>193</v>
      </c>
      <c r="F260" s="3"/>
      <c r="G260" s="85">
        <f>G261+G263+G265</f>
        <v>3327.8724791000004</v>
      </c>
      <c r="H260" s="85">
        <f>H261+H263+H265</f>
        <v>3527.9</v>
      </c>
      <c r="I260" s="85">
        <f>I261+I263+I265</f>
        <v>1589.232</v>
      </c>
      <c r="J260" s="85">
        <f>J261+J263+J265</f>
        <v>4637.3760000000002</v>
      </c>
      <c r="O260" s="1">
        <f t="shared" si="25"/>
        <v>0</v>
      </c>
    </row>
    <row r="261" spans="1:15" s="1" customFormat="1" ht="15.75" customHeight="1" x14ac:dyDescent="0.25">
      <c r="A261" s="129" t="s">
        <v>194</v>
      </c>
      <c r="B261" s="129"/>
      <c r="C261" s="88" t="s">
        <v>93</v>
      </c>
      <c r="D261" s="88" t="s">
        <v>64</v>
      </c>
      <c r="E261" s="3" t="s">
        <v>195</v>
      </c>
      <c r="F261" s="3"/>
      <c r="G261" s="85">
        <f>G262</f>
        <v>3293.8284791000005</v>
      </c>
      <c r="H261" s="85">
        <f>H262</f>
        <v>3493.9</v>
      </c>
      <c r="I261" s="85">
        <f>I262</f>
        <v>1589.232</v>
      </c>
      <c r="J261" s="85">
        <f>J262</f>
        <v>4603.3760000000002</v>
      </c>
      <c r="O261" s="1">
        <f t="shared" si="25"/>
        <v>0</v>
      </c>
    </row>
    <row r="262" spans="1:15" s="1" customFormat="1" ht="15.75" customHeight="1" x14ac:dyDescent="0.25">
      <c r="A262" s="55"/>
      <c r="B262" s="59" t="s">
        <v>101</v>
      </c>
      <c r="C262" s="3" t="s">
        <v>93</v>
      </c>
      <c r="D262" s="3" t="s">
        <v>64</v>
      </c>
      <c r="E262" s="3" t="s">
        <v>195</v>
      </c>
      <c r="F262" s="3" t="s">
        <v>102</v>
      </c>
      <c r="G262" s="85">
        <f>[1]Свод!J1115/1000</f>
        <v>3293.8284791000005</v>
      </c>
      <c r="H262" s="85">
        <v>3493.9</v>
      </c>
      <c r="I262" s="85">
        <v>1589.232</v>
      </c>
      <c r="J262" s="85">
        <f>H262+I262-233.9-245.856</f>
        <v>4603.3760000000002</v>
      </c>
      <c r="K262" s="1">
        <v>-233.9</v>
      </c>
      <c r="N262" s="11">
        <f>J262+K262</f>
        <v>4369.4760000000006</v>
      </c>
      <c r="O262" s="1">
        <f t="shared" si="25"/>
        <v>221.53243320000004</v>
      </c>
    </row>
    <row r="263" spans="1:15" s="1" customFormat="1" ht="15.75" customHeight="1" x14ac:dyDescent="0.25">
      <c r="A263" s="129" t="s">
        <v>196</v>
      </c>
      <c r="B263" s="129"/>
      <c r="C263" s="88" t="s">
        <v>93</v>
      </c>
      <c r="D263" s="88" t="s">
        <v>64</v>
      </c>
      <c r="E263" s="3" t="s">
        <v>197</v>
      </c>
      <c r="F263" s="3"/>
      <c r="G263" s="85">
        <f>G264</f>
        <v>12</v>
      </c>
      <c r="H263" s="85">
        <f>H264</f>
        <v>12</v>
      </c>
      <c r="I263" s="85">
        <f>I264</f>
        <v>4</v>
      </c>
      <c r="J263" s="85">
        <f>J264</f>
        <v>16</v>
      </c>
      <c r="O263" s="1">
        <f t="shared" si="25"/>
        <v>0</v>
      </c>
    </row>
    <row r="264" spans="1:15" s="1" customFormat="1" ht="16.5" customHeight="1" x14ac:dyDescent="0.25">
      <c r="A264" s="55"/>
      <c r="B264" s="59" t="s">
        <v>101</v>
      </c>
      <c r="C264" s="3" t="s">
        <v>93</v>
      </c>
      <c r="D264" s="3" t="s">
        <v>64</v>
      </c>
      <c r="E264" s="3" t="s">
        <v>197</v>
      </c>
      <c r="F264" s="3" t="s">
        <v>102</v>
      </c>
      <c r="G264" s="85">
        <f>[1]Свод!N954/1000</f>
        <v>12</v>
      </c>
      <c r="H264" s="85">
        <v>12</v>
      </c>
      <c r="I264" s="85">
        <v>4</v>
      </c>
      <c r="J264" s="85">
        <f>H264+I264</f>
        <v>16</v>
      </c>
      <c r="O264" s="1">
        <f t="shared" si="25"/>
        <v>0</v>
      </c>
    </row>
    <row r="265" spans="1:15" s="1" customFormat="1" ht="18" customHeight="1" x14ac:dyDescent="0.25">
      <c r="A265" s="129" t="s">
        <v>198</v>
      </c>
      <c r="B265" s="129"/>
      <c r="C265" s="3" t="s">
        <v>93</v>
      </c>
      <c r="D265" s="3" t="s">
        <v>64</v>
      </c>
      <c r="E265" s="3" t="s">
        <v>199</v>
      </c>
      <c r="F265" s="3"/>
      <c r="G265" s="85">
        <f>G266</f>
        <v>22.044</v>
      </c>
      <c r="H265" s="85">
        <f>H266</f>
        <v>22</v>
      </c>
      <c r="I265" s="85">
        <f>I266</f>
        <v>-4</v>
      </c>
      <c r="J265" s="85">
        <f>J266</f>
        <v>18</v>
      </c>
      <c r="O265" s="1">
        <f t="shared" si="25"/>
        <v>0</v>
      </c>
    </row>
    <row r="266" spans="1:15" s="1" customFormat="1" ht="17.25" customHeight="1" x14ac:dyDescent="0.25">
      <c r="A266" s="55"/>
      <c r="B266" s="59" t="s">
        <v>101</v>
      </c>
      <c r="C266" s="88" t="s">
        <v>93</v>
      </c>
      <c r="D266" s="88" t="s">
        <v>64</v>
      </c>
      <c r="E266" s="3" t="s">
        <v>199</v>
      </c>
      <c r="F266" s="88" t="s">
        <v>102</v>
      </c>
      <c r="G266" s="85">
        <f>[1]Свод!N823/1000</f>
        <v>22.044</v>
      </c>
      <c r="H266" s="85">
        <v>22</v>
      </c>
      <c r="I266" s="85">
        <v>-4</v>
      </c>
      <c r="J266" s="85">
        <f>H266+I266</f>
        <v>18</v>
      </c>
      <c r="O266" s="1">
        <f t="shared" si="25"/>
        <v>0</v>
      </c>
    </row>
    <row r="267" spans="1:15" s="2" customFormat="1" ht="15" customHeight="1" x14ac:dyDescent="0.25">
      <c r="A267" s="129" t="s">
        <v>275</v>
      </c>
      <c r="B267" s="129"/>
      <c r="C267" s="88" t="s">
        <v>93</v>
      </c>
      <c r="D267" s="88" t="s">
        <v>64</v>
      </c>
      <c r="E267" s="88" t="s">
        <v>540</v>
      </c>
      <c r="F267" s="88"/>
      <c r="G267" s="63">
        <f t="shared" ref="G267:J269" si="31">G268</f>
        <v>65.098799999999997</v>
      </c>
      <c r="H267" s="63">
        <f t="shared" si="31"/>
        <v>65.099999999999994</v>
      </c>
      <c r="I267" s="63">
        <f t="shared" si="31"/>
        <v>0</v>
      </c>
      <c r="J267" s="63">
        <f t="shared" si="31"/>
        <v>65.099999999999994</v>
      </c>
      <c r="O267" s="1">
        <f t="shared" si="25"/>
        <v>0</v>
      </c>
    </row>
    <row r="268" spans="1:15" s="1" customFormat="1" ht="54.75" customHeight="1" x14ac:dyDescent="0.25">
      <c r="A268" s="129" t="s">
        <v>541</v>
      </c>
      <c r="B268" s="129"/>
      <c r="C268" s="3" t="s">
        <v>93</v>
      </c>
      <c r="D268" s="3" t="s">
        <v>64</v>
      </c>
      <c r="E268" s="3" t="s">
        <v>542</v>
      </c>
      <c r="F268" s="3"/>
      <c r="G268" s="85">
        <f t="shared" si="31"/>
        <v>65.098799999999997</v>
      </c>
      <c r="H268" s="85">
        <f t="shared" si="31"/>
        <v>65.099999999999994</v>
      </c>
      <c r="I268" s="85">
        <f t="shared" si="31"/>
        <v>0</v>
      </c>
      <c r="J268" s="85">
        <f t="shared" si="31"/>
        <v>65.099999999999994</v>
      </c>
      <c r="O268" s="1">
        <f t="shared" si="25"/>
        <v>0</v>
      </c>
    </row>
    <row r="269" spans="1:15" s="1" customFormat="1" ht="65.25" customHeight="1" x14ac:dyDescent="0.25">
      <c r="A269" s="129" t="s">
        <v>582</v>
      </c>
      <c r="B269" s="129"/>
      <c r="C269" s="3" t="s">
        <v>93</v>
      </c>
      <c r="D269" s="3" t="s">
        <v>64</v>
      </c>
      <c r="E269" s="3" t="s">
        <v>583</v>
      </c>
      <c r="F269" s="3"/>
      <c r="G269" s="85">
        <f t="shared" si="31"/>
        <v>65.098799999999997</v>
      </c>
      <c r="H269" s="85">
        <f t="shared" si="31"/>
        <v>65.099999999999994</v>
      </c>
      <c r="I269" s="85">
        <f t="shared" si="31"/>
        <v>0</v>
      </c>
      <c r="J269" s="85">
        <f t="shared" si="31"/>
        <v>65.099999999999994</v>
      </c>
      <c r="O269" s="1">
        <f t="shared" ref="O269:O332" si="32">N269*5.07/100</f>
        <v>0</v>
      </c>
    </row>
    <row r="270" spans="1:15" s="1" customFormat="1" ht="16.5" customHeight="1" x14ac:dyDescent="0.25">
      <c r="A270" s="55"/>
      <c r="B270" s="59" t="s">
        <v>101</v>
      </c>
      <c r="C270" s="3" t="s">
        <v>93</v>
      </c>
      <c r="D270" s="3" t="s">
        <v>64</v>
      </c>
      <c r="E270" s="3" t="s">
        <v>583</v>
      </c>
      <c r="F270" s="3" t="s">
        <v>102</v>
      </c>
      <c r="G270" s="85">
        <f>[1]Свод!M725/1000</f>
        <v>65.098799999999997</v>
      </c>
      <c r="H270" s="85">
        <v>65.099999999999994</v>
      </c>
      <c r="I270" s="85"/>
      <c r="J270" s="85">
        <f>H270+I270</f>
        <v>65.099999999999994</v>
      </c>
      <c r="O270" s="1">
        <f t="shared" si="32"/>
        <v>0</v>
      </c>
    </row>
    <row r="271" spans="1:15" s="1" customFormat="1" ht="16.5" customHeight="1" x14ac:dyDescent="0.25">
      <c r="A271" s="129" t="s">
        <v>621</v>
      </c>
      <c r="B271" s="129"/>
      <c r="C271" s="3" t="s">
        <v>93</v>
      </c>
      <c r="D271" s="3" t="s">
        <v>64</v>
      </c>
      <c r="E271" s="3" t="s">
        <v>47</v>
      </c>
      <c r="F271" s="3"/>
      <c r="G271" s="85"/>
      <c r="H271" s="85">
        <f>H272+H274</f>
        <v>880</v>
      </c>
      <c r="I271" s="85">
        <f>I272+I274</f>
        <v>-376</v>
      </c>
      <c r="J271" s="85">
        <f>J272+J274</f>
        <v>478.447</v>
      </c>
      <c r="O271" s="1">
        <f t="shared" si="32"/>
        <v>0</v>
      </c>
    </row>
    <row r="272" spans="1:15" s="1" customFormat="1" ht="26.25" customHeight="1" x14ac:dyDescent="0.25">
      <c r="A272" s="129" t="s">
        <v>622</v>
      </c>
      <c r="B272" s="129"/>
      <c r="C272" s="88" t="s">
        <v>93</v>
      </c>
      <c r="D272" s="88" t="s">
        <v>64</v>
      </c>
      <c r="E272" s="88" t="s">
        <v>623</v>
      </c>
      <c r="F272" s="3"/>
      <c r="G272" s="85" t="e">
        <f>G273</f>
        <v>#REF!</v>
      </c>
      <c r="H272" s="85">
        <f>H273</f>
        <v>730</v>
      </c>
      <c r="I272" s="85">
        <f>I273</f>
        <v>-400</v>
      </c>
      <c r="J272" s="85">
        <f>J273</f>
        <v>313.26900000000001</v>
      </c>
      <c r="O272" s="1">
        <f t="shared" si="32"/>
        <v>0</v>
      </c>
    </row>
    <row r="273" spans="1:15" s="1" customFormat="1" ht="17.25" customHeight="1" x14ac:dyDescent="0.25">
      <c r="A273" s="55"/>
      <c r="B273" s="59" t="s">
        <v>200</v>
      </c>
      <c r="C273" s="3" t="s">
        <v>93</v>
      </c>
      <c r="D273" s="3" t="s">
        <v>64</v>
      </c>
      <c r="E273" s="3" t="s">
        <v>623</v>
      </c>
      <c r="F273" s="3" t="s">
        <v>201</v>
      </c>
      <c r="G273" s="85" t="e">
        <f>[1]Свод!K1169/1000</f>
        <v>#REF!</v>
      </c>
      <c r="H273" s="85">
        <v>730</v>
      </c>
      <c r="I273" s="85">
        <v>-400</v>
      </c>
      <c r="J273" s="85">
        <f>H273+I273-16.731</f>
        <v>313.26900000000001</v>
      </c>
      <c r="N273" s="11">
        <f>J273</f>
        <v>313.26900000000001</v>
      </c>
      <c r="O273" s="1">
        <f t="shared" si="32"/>
        <v>15.882738300000002</v>
      </c>
    </row>
    <row r="274" spans="1:15" s="1" customFormat="1" ht="27" customHeight="1" x14ac:dyDescent="0.25">
      <c r="A274" s="129" t="s">
        <v>624</v>
      </c>
      <c r="B274" s="129"/>
      <c r="C274" s="88" t="s">
        <v>93</v>
      </c>
      <c r="D274" s="88" t="s">
        <v>64</v>
      </c>
      <c r="E274" s="88" t="s">
        <v>625</v>
      </c>
      <c r="F274" s="3"/>
      <c r="G274" s="85" t="e">
        <f>G275</f>
        <v>#REF!</v>
      </c>
      <c r="H274" s="85">
        <f>H275</f>
        <v>150</v>
      </c>
      <c r="I274" s="85">
        <f>I275</f>
        <v>24</v>
      </c>
      <c r="J274" s="85">
        <f>J275</f>
        <v>165.178</v>
      </c>
      <c r="O274" s="1">
        <f t="shared" si="32"/>
        <v>0</v>
      </c>
    </row>
    <row r="275" spans="1:15" s="1" customFormat="1" ht="17.25" customHeight="1" x14ac:dyDescent="0.25">
      <c r="A275" s="55"/>
      <c r="B275" s="59" t="s">
        <v>200</v>
      </c>
      <c r="C275" s="3" t="s">
        <v>93</v>
      </c>
      <c r="D275" s="3" t="s">
        <v>64</v>
      </c>
      <c r="E275" s="3" t="s">
        <v>625</v>
      </c>
      <c r="F275" s="3" t="s">
        <v>201</v>
      </c>
      <c r="G275" s="85" t="e">
        <f>[1]Свод!M1173/1000</f>
        <v>#REF!</v>
      </c>
      <c r="H275" s="85">
        <v>150</v>
      </c>
      <c r="I275" s="85">
        <v>24</v>
      </c>
      <c r="J275" s="85">
        <f>H275+I275-8.822</f>
        <v>165.178</v>
      </c>
      <c r="N275" s="11">
        <f>J275</f>
        <v>165.178</v>
      </c>
      <c r="O275" s="1">
        <f t="shared" si="32"/>
        <v>8.3745246000000009</v>
      </c>
    </row>
    <row r="276" spans="1:15" s="1" customFormat="1" ht="15.75" customHeight="1" x14ac:dyDescent="0.25">
      <c r="A276" s="129" t="s">
        <v>243</v>
      </c>
      <c r="B276" s="129"/>
      <c r="C276" s="3" t="s">
        <v>93</v>
      </c>
      <c r="D276" s="3" t="s">
        <v>64</v>
      </c>
      <c r="E276" s="3" t="s">
        <v>244</v>
      </c>
      <c r="F276" s="3"/>
      <c r="G276" s="85" t="e">
        <f>G283+#REF!+#REF!</f>
        <v>#REF!</v>
      </c>
      <c r="H276" s="85">
        <f>H277+H279+H281+H283</f>
        <v>1278</v>
      </c>
      <c r="I276" s="85">
        <f>I277+I279+I281+I283</f>
        <v>704.07100000000003</v>
      </c>
      <c r="J276" s="85">
        <f>J277+J279+J281+J283</f>
        <v>1982.0709999999999</v>
      </c>
      <c r="O276" s="1">
        <f t="shared" si="32"/>
        <v>0</v>
      </c>
    </row>
    <row r="277" spans="1:15" s="1" customFormat="1" ht="27.75" customHeight="1" x14ac:dyDescent="0.25">
      <c r="A277" s="129" t="s">
        <v>626</v>
      </c>
      <c r="B277" s="129"/>
      <c r="C277" s="88" t="s">
        <v>93</v>
      </c>
      <c r="D277" s="88" t="s">
        <v>64</v>
      </c>
      <c r="E277" s="88" t="s">
        <v>627</v>
      </c>
      <c r="F277" s="3"/>
      <c r="G277" s="85">
        <f>G278</f>
        <v>1120</v>
      </c>
      <c r="H277" s="85">
        <f>H278</f>
        <v>1218.0999999999999</v>
      </c>
      <c r="I277" s="85">
        <f>I278</f>
        <v>0</v>
      </c>
      <c r="J277" s="85">
        <f>H277+I277</f>
        <v>1218.0999999999999</v>
      </c>
      <c r="K277" s="9"/>
      <c r="O277" s="1">
        <f t="shared" si="32"/>
        <v>0</v>
      </c>
    </row>
    <row r="278" spans="1:15" s="1" customFormat="1" ht="17.25" customHeight="1" x14ac:dyDescent="0.25">
      <c r="A278" s="55"/>
      <c r="B278" s="59" t="s">
        <v>200</v>
      </c>
      <c r="C278" s="3" t="s">
        <v>93</v>
      </c>
      <c r="D278" s="3" t="s">
        <v>64</v>
      </c>
      <c r="E278" s="3" t="s">
        <v>627</v>
      </c>
      <c r="F278" s="3" t="s">
        <v>201</v>
      </c>
      <c r="G278" s="85">
        <v>1120</v>
      </c>
      <c r="H278" s="85">
        <v>1218.0999999999999</v>
      </c>
      <c r="I278" s="83"/>
      <c r="J278" s="83">
        <v>1218.0999999999999</v>
      </c>
      <c r="K278" s="9"/>
      <c r="O278" s="1">
        <f t="shared" si="32"/>
        <v>0</v>
      </c>
    </row>
    <row r="279" spans="1:15" s="1" customFormat="1" ht="16.5" customHeight="1" x14ac:dyDescent="0.25">
      <c r="A279" s="129" t="s">
        <v>628</v>
      </c>
      <c r="B279" s="129"/>
      <c r="C279" s="88" t="s">
        <v>93</v>
      </c>
      <c r="D279" s="88" t="s">
        <v>64</v>
      </c>
      <c r="E279" s="88" t="s">
        <v>629</v>
      </c>
      <c r="F279" s="3"/>
      <c r="G279" s="85">
        <f>G280</f>
        <v>1015.0359999999999</v>
      </c>
      <c r="H279" s="85">
        <f>H280</f>
        <v>54.9</v>
      </c>
      <c r="I279" s="85">
        <f>I280</f>
        <v>625.07100000000003</v>
      </c>
      <c r="J279" s="85">
        <f>H279+I279</f>
        <v>679.971</v>
      </c>
      <c r="K279" s="9"/>
      <c r="O279" s="1">
        <f t="shared" si="32"/>
        <v>0</v>
      </c>
    </row>
    <row r="280" spans="1:15" s="1" customFormat="1" ht="17.25" customHeight="1" x14ac:dyDescent="0.25">
      <c r="A280" s="55"/>
      <c r="B280" s="59" t="s">
        <v>200</v>
      </c>
      <c r="C280" s="3" t="s">
        <v>93</v>
      </c>
      <c r="D280" s="3" t="s">
        <v>64</v>
      </c>
      <c r="E280" s="3" t="s">
        <v>629</v>
      </c>
      <c r="F280" s="3" t="s">
        <v>201</v>
      </c>
      <c r="G280" s="85">
        <v>1015.0359999999999</v>
      </c>
      <c r="H280" s="85">
        <v>54.9</v>
      </c>
      <c r="I280" s="83">
        <f>300+325.071</f>
        <v>625.07100000000003</v>
      </c>
      <c r="J280" s="85">
        <f>H280+I280</f>
        <v>679.971</v>
      </c>
      <c r="K280" s="9"/>
      <c r="O280" s="1">
        <f t="shared" si="32"/>
        <v>0</v>
      </c>
    </row>
    <row r="281" spans="1:15" s="1" customFormat="1" ht="27.75" customHeight="1" x14ac:dyDescent="0.25">
      <c r="A281" s="129" t="s">
        <v>630</v>
      </c>
      <c r="B281" s="129"/>
      <c r="C281" s="88" t="s">
        <v>93</v>
      </c>
      <c r="D281" s="88" t="s">
        <v>64</v>
      </c>
      <c r="E281" s="88" t="s">
        <v>631</v>
      </c>
      <c r="F281" s="3"/>
      <c r="G281" s="85">
        <f>G282</f>
        <v>1015.0359999999999</v>
      </c>
      <c r="H281" s="85">
        <f>H282</f>
        <v>0</v>
      </c>
      <c r="I281" s="85">
        <f>I282</f>
        <v>79</v>
      </c>
      <c r="J281" s="85">
        <f>H281+I281</f>
        <v>79</v>
      </c>
      <c r="K281" s="9"/>
      <c r="O281" s="1">
        <f t="shared" si="32"/>
        <v>0</v>
      </c>
    </row>
    <row r="282" spans="1:15" s="1" customFormat="1" ht="17.25" customHeight="1" x14ac:dyDescent="0.25">
      <c r="A282" s="55"/>
      <c r="B282" s="59" t="s">
        <v>200</v>
      </c>
      <c r="C282" s="3" t="s">
        <v>93</v>
      </c>
      <c r="D282" s="3" t="s">
        <v>64</v>
      </c>
      <c r="E282" s="3" t="s">
        <v>631</v>
      </c>
      <c r="F282" s="3" t="s">
        <v>201</v>
      </c>
      <c r="G282" s="85">
        <v>1015.0359999999999</v>
      </c>
      <c r="H282" s="85">
        <v>0</v>
      </c>
      <c r="I282" s="83">
        <v>79</v>
      </c>
      <c r="J282" s="85">
        <f>H282+I282</f>
        <v>79</v>
      </c>
      <c r="K282" s="9"/>
      <c r="O282" s="1">
        <f t="shared" si="32"/>
        <v>0</v>
      </c>
    </row>
    <row r="283" spans="1:15" s="1" customFormat="1" ht="27" customHeight="1" x14ac:dyDescent="0.25">
      <c r="A283" s="129" t="s">
        <v>632</v>
      </c>
      <c r="B283" s="129"/>
      <c r="C283" s="88" t="s">
        <v>93</v>
      </c>
      <c r="D283" s="88" t="s">
        <v>64</v>
      </c>
      <c r="E283" s="88" t="s">
        <v>633</v>
      </c>
      <c r="F283" s="3"/>
      <c r="G283" s="85">
        <f>G284</f>
        <v>5</v>
      </c>
      <c r="H283" s="85">
        <f>H284</f>
        <v>5</v>
      </c>
      <c r="I283" s="85">
        <f>I284</f>
        <v>0</v>
      </c>
      <c r="J283" s="85">
        <f>J284</f>
        <v>5</v>
      </c>
      <c r="O283" s="1">
        <f t="shared" si="32"/>
        <v>0</v>
      </c>
    </row>
    <row r="284" spans="1:15" s="1" customFormat="1" ht="17.25" customHeight="1" x14ac:dyDescent="0.25">
      <c r="A284" s="55"/>
      <c r="B284" s="59" t="s">
        <v>200</v>
      </c>
      <c r="C284" s="3" t="s">
        <v>93</v>
      </c>
      <c r="D284" s="3" t="s">
        <v>64</v>
      </c>
      <c r="E284" s="3" t="s">
        <v>633</v>
      </c>
      <c r="F284" s="3" t="s">
        <v>201</v>
      </c>
      <c r="G284" s="85">
        <f>[1]Свод!L1180/1000</f>
        <v>5</v>
      </c>
      <c r="H284" s="85">
        <v>5</v>
      </c>
      <c r="I284" s="85"/>
      <c r="J284" s="85">
        <f>H284+I284</f>
        <v>5</v>
      </c>
      <c r="O284" s="1">
        <f t="shared" si="32"/>
        <v>0</v>
      </c>
    </row>
    <row r="285" spans="1:15" s="4" customFormat="1" ht="18" customHeight="1" x14ac:dyDescent="0.25">
      <c r="A285" s="132" t="s">
        <v>634</v>
      </c>
      <c r="B285" s="132"/>
      <c r="C285" s="79" t="s">
        <v>202</v>
      </c>
      <c r="D285" s="79"/>
      <c r="E285" s="79"/>
      <c r="F285" s="79"/>
      <c r="G285" s="80" t="e">
        <f>G286+G318</f>
        <v>#REF!</v>
      </c>
      <c r="H285" s="80">
        <f>H286+H318</f>
        <v>4441.9039999999995</v>
      </c>
      <c r="I285" s="80">
        <f>I286+I318</f>
        <v>0</v>
      </c>
      <c r="J285" s="80">
        <f>J286+J318</f>
        <v>4366.0779999999995</v>
      </c>
      <c r="O285" s="1">
        <f t="shared" si="32"/>
        <v>0</v>
      </c>
    </row>
    <row r="286" spans="1:15" s="6" customFormat="1" ht="17.25" customHeight="1" x14ac:dyDescent="0.25">
      <c r="A286" s="128" t="s">
        <v>203</v>
      </c>
      <c r="B286" s="128"/>
      <c r="C286" s="81" t="s">
        <v>202</v>
      </c>
      <c r="D286" s="81" t="s">
        <v>6</v>
      </c>
      <c r="E286" s="81"/>
      <c r="F286" s="81"/>
      <c r="G286" s="86" t="e">
        <f>G287+G297+G313</f>
        <v>#REF!</v>
      </c>
      <c r="H286" s="86">
        <f>H287+H297+H309+H313</f>
        <v>3960.0039999999999</v>
      </c>
      <c r="I286" s="86">
        <f>I287+I297+I309+I313</f>
        <v>0</v>
      </c>
      <c r="J286" s="86">
        <f>J287+J297+J309+J313</f>
        <v>3898.0159999999996</v>
      </c>
      <c r="O286" s="1">
        <f t="shared" si="32"/>
        <v>0</v>
      </c>
    </row>
    <row r="287" spans="1:15" s="1" customFormat="1" ht="16.5" customHeight="1" x14ac:dyDescent="0.25">
      <c r="A287" s="129" t="s">
        <v>635</v>
      </c>
      <c r="B287" s="129"/>
      <c r="C287" s="3" t="s">
        <v>202</v>
      </c>
      <c r="D287" s="3" t="s">
        <v>6</v>
      </c>
      <c r="E287" s="3" t="s">
        <v>204</v>
      </c>
      <c r="F287" s="3"/>
      <c r="G287" s="85">
        <f>G288</f>
        <v>329.3894626</v>
      </c>
      <c r="H287" s="85">
        <f>H288</f>
        <v>1538.1</v>
      </c>
      <c r="I287" s="85">
        <f>I288</f>
        <v>0</v>
      </c>
      <c r="J287" s="85">
        <f>J288</f>
        <v>1477.2939999999999</v>
      </c>
      <c r="O287" s="1">
        <f t="shared" si="32"/>
        <v>0</v>
      </c>
    </row>
    <row r="288" spans="1:15" s="1" customFormat="1" ht="18" customHeight="1" x14ac:dyDescent="0.25">
      <c r="A288" s="129" t="s">
        <v>97</v>
      </c>
      <c r="B288" s="129"/>
      <c r="C288" s="3" t="s">
        <v>202</v>
      </c>
      <c r="D288" s="3" t="s">
        <v>6</v>
      </c>
      <c r="E288" s="3" t="s">
        <v>205</v>
      </c>
      <c r="F288" s="3"/>
      <c r="G288" s="85">
        <f>G289+G291+G293</f>
        <v>329.3894626</v>
      </c>
      <c r="H288" s="85">
        <f>H289+H291+H293+H295</f>
        <v>1538.1</v>
      </c>
      <c r="I288" s="85">
        <f>I289+I291+I293+I295</f>
        <v>0</v>
      </c>
      <c r="J288" s="85">
        <f>J289+J291+J293+J295</f>
        <v>1477.2939999999999</v>
      </c>
      <c r="O288" s="1">
        <f t="shared" si="32"/>
        <v>0</v>
      </c>
    </row>
    <row r="289" spans="1:15" s="1" customFormat="1" ht="18" customHeight="1" x14ac:dyDescent="0.25">
      <c r="A289" s="141" t="s">
        <v>206</v>
      </c>
      <c r="B289" s="141"/>
      <c r="C289" s="3" t="s">
        <v>202</v>
      </c>
      <c r="D289" s="3" t="s">
        <v>6</v>
      </c>
      <c r="E289" s="3" t="s">
        <v>207</v>
      </c>
      <c r="F289" s="3"/>
      <c r="G289" s="85">
        <f>G290</f>
        <v>99.885462599999997</v>
      </c>
      <c r="H289" s="85">
        <f>H290</f>
        <v>108.596</v>
      </c>
      <c r="I289" s="85">
        <f>I290</f>
        <v>0</v>
      </c>
      <c r="J289" s="85">
        <f>J290</f>
        <v>103.09</v>
      </c>
      <c r="O289" s="1">
        <f t="shared" si="32"/>
        <v>0</v>
      </c>
    </row>
    <row r="290" spans="1:15" s="1" customFormat="1" ht="18" customHeight="1" x14ac:dyDescent="0.25">
      <c r="A290" s="55"/>
      <c r="B290" s="59" t="s">
        <v>101</v>
      </c>
      <c r="C290" s="3" t="s">
        <v>202</v>
      </c>
      <c r="D290" s="3" t="s">
        <v>6</v>
      </c>
      <c r="E290" s="3" t="s">
        <v>207</v>
      </c>
      <c r="F290" s="3" t="s">
        <v>102</v>
      </c>
      <c r="G290" s="85">
        <f>[1]Свод!M1245/1000</f>
        <v>99.885462599999997</v>
      </c>
      <c r="H290" s="85">
        <v>108.596</v>
      </c>
      <c r="I290" s="85"/>
      <c r="J290" s="85">
        <f>H290+I290-5.506</f>
        <v>103.09</v>
      </c>
      <c r="N290" s="11">
        <f>J290</f>
        <v>103.09</v>
      </c>
      <c r="O290" s="1">
        <f t="shared" si="32"/>
        <v>5.2266630000000012</v>
      </c>
    </row>
    <row r="291" spans="1:15" s="2" customFormat="1" ht="17.25" customHeight="1" x14ac:dyDescent="0.25">
      <c r="A291" s="129" t="s">
        <v>208</v>
      </c>
      <c r="B291" s="129"/>
      <c r="C291" s="88" t="s">
        <v>202</v>
      </c>
      <c r="D291" s="88" t="s">
        <v>6</v>
      </c>
      <c r="E291" s="88" t="s">
        <v>209</v>
      </c>
      <c r="F291" s="88"/>
      <c r="G291" s="63">
        <f>G292</f>
        <v>2.004</v>
      </c>
      <c r="H291" s="63">
        <f>H292</f>
        <v>2.004</v>
      </c>
      <c r="I291" s="63">
        <f>I292</f>
        <v>0</v>
      </c>
      <c r="J291" s="63">
        <f>J292</f>
        <v>2.004</v>
      </c>
      <c r="O291" s="1">
        <f t="shared" si="32"/>
        <v>0</v>
      </c>
    </row>
    <row r="292" spans="1:15" s="1" customFormat="1" ht="18" customHeight="1" x14ac:dyDescent="0.25">
      <c r="A292" s="55"/>
      <c r="B292" s="59" t="s">
        <v>101</v>
      </c>
      <c r="C292" s="3" t="s">
        <v>202</v>
      </c>
      <c r="D292" s="3" t="s">
        <v>6</v>
      </c>
      <c r="E292" s="3" t="s">
        <v>209</v>
      </c>
      <c r="F292" s="3" t="s">
        <v>102</v>
      </c>
      <c r="G292" s="85">
        <f>[1]Свод!N1245/1000</f>
        <v>2.004</v>
      </c>
      <c r="H292" s="85">
        <v>2.004</v>
      </c>
      <c r="I292" s="85"/>
      <c r="J292" s="85">
        <f>H292+I292</f>
        <v>2.004</v>
      </c>
      <c r="O292" s="1">
        <f t="shared" si="32"/>
        <v>0</v>
      </c>
    </row>
    <row r="293" spans="1:15" s="1" customFormat="1" ht="18" customHeight="1" x14ac:dyDescent="0.25">
      <c r="A293" s="141" t="s">
        <v>210</v>
      </c>
      <c r="B293" s="141"/>
      <c r="C293" s="3" t="s">
        <v>202</v>
      </c>
      <c r="D293" s="3" t="s">
        <v>6</v>
      </c>
      <c r="E293" s="3" t="s">
        <v>211</v>
      </c>
      <c r="F293" s="3"/>
      <c r="G293" s="85">
        <f>G294</f>
        <v>227.5</v>
      </c>
      <c r="H293" s="85">
        <f>H294</f>
        <v>227.5</v>
      </c>
      <c r="I293" s="85">
        <f>I294</f>
        <v>0</v>
      </c>
      <c r="J293" s="85">
        <f>J294</f>
        <v>172.2</v>
      </c>
      <c r="O293" s="1">
        <f t="shared" si="32"/>
        <v>0</v>
      </c>
    </row>
    <row r="294" spans="1:15" s="1" customFormat="1" ht="18" customHeight="1" x14ac:dyDescent="0.25">
      <c r="A294" s="55"/>
      <c r="B294" s="59" t="s">
        <v>101</v>
      </c>
      <c r="C294" s="3" t="s">
        <v>202</v>
      </c>
      <c r="D294" s="3" t="s">
        <v>6</v>
      </c>
      <c r="E294" s="3" t="s">
        <v>211</v>
      </c>
      <c r="F294" s="3" t="s">
        <v>102</v>
      </c>
      <c r="G294" s="85">
        <f>[1]Свод!K1305/1000</f>
        <v>227.5</v>
      </c>
      <c r="H294" s="85">
        <v>227.5</v>
      </c>
      <c r="I294" s="85"/>
      <c r="J294" s="85">
        <f>H294+I294-55.3</f>
        <v>172.2</v>
      </c>
      <c r="K294" s="1">
        <v>-55.3</v>
      </c>
      <c r="O294" s="1">
        <f t="shared" si="32"/>
        <v>0</v>
      </c>
    </row>
    <row r="295" spans="1:15" s="2" customFormat="1" ht="27" customHeight="1" x14ac:dyDescent="0.25">
      <c r="A295" s="137" t="s">
        <v>636</v>
      </c>
      <c r="B295" s="138"/>
      <c r="C295" s="88" t="s">
        <v>202</v>
      </c>
      <c r="D295" s="88" t="s">
        <v>6</v>
      </c>
      <c r="E295" s="88" t="s">
        <v>637</v>
      </c>
      <c r="F295" s="88"/>
      <c r="G295" s="63"/>
      <c r="H295" s="63">
        <f>H296</f>
        <v>1200</v>
      </c>
      <c r="I295" s="63">
        <f>I296</f>
        <v>0</v>
      </c>
      <c r="J295" s="63">
        <f>J296</f>
        <v>1200</v>
      </c>
      <c r="O295" s="1">
        <f t="shared" si="32"/>
        <v>0</v>
      </c>
    </row>
    <row r="296" spans="1:15" s="1" customFormat="1" ht="18" customHeight="1" x14ac:dyDescent="0.25">
      <c r="A296" s="55"/>
      <c r="B296" s="59" t="s">
        <v>101</v>
      </c>
      <c r="C296" s="3" t="s">
        <v>202</v>
      </c>
      <c r="D296" s="3" t="s">
        <v>6</v>
      </c>
      <c r="E296" s="3" t="s">
        <v>637</v>
      </c>
      <c r="F296" s="3" t="s">
        <v>102</v>
      </c>
      <c r="G296" s="85" t="e">
        <f>[1]Свод!K1307/1000</f>
        <v>#REF!</v>
      </c>
      <c r="H296" s="85">
        <v>1200</v>
      </c>
      <c r="I296" s="85"/>
      <c r="J296" s="85">
        <f>H296+I296</f>
        <v>1200</v>
      </c>
      <c r="O296" s="1">
        <f t="shared" si="32"/>
        <v>0</v>
      </c>
    </row>
    <row r="297" spans="1:15" s="1" customFormat="1" ht="12.75" customHeight="1" x14ac:dyDescent="0.25">
      <c r="A297" s="129" t="s">
        <v>213</v>
      </c>
      <c r="B297" s="129"/>
      <c r="C297" s="3" t="s">
        <v>202</v>
      </c>
      <c r="D297" s="3" t="s">
        <v>6</v>
      </c>
      <c r="E297" s="3" t="s">
        <v>214</v>
      </c>
      <c r="F297" s="3"/>
      <c r="G297" s="85" t="e">
        <f>G298</f>
        <v>#REF!</v>
      </c>
      <c r="H297" s="85">
        <f>H298</f>
        <v>2351.904</v>
      </c>
      <c r="I297" s="85">
        <f>I298</f>
        <v>0</v>
      </c>
      <c r="J297" s="85">
        <f>J298</f>
        <v>2350.7219999999998</v>
      </c>
      <c r="O297" s="1">
        <f t="shared" si="32"/>
        <v>0</v>
      </c>
    </row>
    <row r="298" spans="1:15" s="1" customFormat="1" ht="15.75" customHeight="1" x14ac:dyDescent="0.25">
      <c r="A298" s="129" t="s">
        <v>97</v>
      </c>
      <c r="B298" s="129"/>
      <c r="C298" s="3" t="s">
        <v>202</v>
      </c>
      <c r="D298" s="3" t="s">
        <v>6</v>
      </c>
      <c r="E298" s="3" t="s">
        <v>215</v>
      </c>
      <c r="F298" s="3"/>
      <c r="G298" s="85" t="e">
        <f>#REF!</f>
        <v>#REF!</v>
      </c>
      <c r="H298" s="85">
        <f>H299+H301+H303+H305+H307</f>
        <v>2351.904</v>
      </c>
      <c r="I298" s="85">
        <f>I299+I301+I303+I305+I307</f>
        <v>0</v>
      </c>
      <c r="J298" s="85">
        <f>J299+J301+J303+J305+J307</f>
        <v>2350.7219999999998</v>
      </c>
      <c r="O298" s="1">
        <f t="shared" si="32"/>
        <v>0</v>
      </c>
    </row>
    <row r="299" spans="1:15" s="1" customFormat="1" ht="28.5" customHeight="1" x14ac:dyDescent="0.25">
      <c r="A299" s="137" t="s">
        <v>638</v>
      </c>
      <c r="B299" s="138"/>
      <c r="C299" s="3" t="s">
        <v>202</v>
      </c>
      <c r="D299" s="3" t="s">
        <v>6</v>
      </c>
      <c r="E299" s="3" t="s">
        <v>216</v>
      </c>
      <c r="F299" s="3"/>
      <c r="G299" s="85">
        <f>G300</f>
        <v>324.69874525000006</v>
      </c>
      <c r="H299" s="85">
        <f>H300</f>
        <v>338.88799999999998</v>
      </c>
      <c r="I299" s="85">
        <f>I300</f>
        <v>0</v>
      </c>
      <c r="J299" s="85">
        <f>J300</f>
        <v>321.70599999999996</v>
      </c>
      <c r="O299" s="1">
        <f t="shared" si="32"/>
        <v>0</v>
      </c>
    </row>
    <row r="300" spans="1:15" s="1" customFormat="1" ht="18" customHeight="1" x14ac:dyDescent="0.25">
      <c r="A300" s="55"/>
      <c r="B300" s="59" t="s">
        <v>101</v>
      </c>
      <c r="C300" s="3" t="s">
        <v>202</v>
      </c>
      <c r="D300" s="3" t="s">
        <v>6</v>
      </c>
      <c r="E300" s="3" t="s">
        <v>216</v>
      </c>
      <c r="F300" s="3" t="s">
        <v>102</v>
      </c>
      <c r="G300" s="85">
        <f>[1]Свод!O1245/1000</f>
        <v>324.69874525000006</v>
      </c>
      <c r="H300" s="85">
        <v>338.88799999999998</v>
      </c>
      <c r="I300" s="85"/>
      <c r="J300" s="85">
        <f>H300+I300-17.182</f>
        <v>321.70599999999996</v>
      </c>
      <c r="N300" s="11">
        <f>J300</f>
        <v>321.70599999999996</v>
      </c>
      <c r="O300" s="1">
        <f t="shared" si="32"/>
        <v>16.310494199999997</v>
      </c>
    </row>
    <row r="301" spans="1:15" s="1" customFormat="1" ht="18" customHeight="1" x14ac:dyDescent="0.25">
      <c r="A301" s="141" t="s">
        <v>208</v>
      </c>
      <c r="B301" s="141"/>
      <c r="C301" s="3" t="s">
        <v>202</v>
      </c>
      <c r="D301" s="3" t="s">
        <v>6</v>
      </c>
      <c r="E301" s="3" t="s">
        <v>217</v>
      </c>
      <c r="F301" s="3"/>
      <c r="G301" s="85">
        <f>G302</f>
        <v>6.0119999999999996</v>
      </c>
      <c r="H301" s="85">
        <f>H302</f>
        <v>6.0119999999999996</v>
      </c>
      <c r="I301" s="85">
        <f>I302</f>
        <v>0</v>
      </c>
      <c r="J301" s="85">
        <f>J302</f>
        <v>6.0119999999999996</v>
      </c>
      <c r="O301" s="1">
        <f t="shared" si="32"/>
        <v>0</v>
      </c>
    </row>
    <row r="302" spans="1:15" s="1" customFormat="1" ht="18" customHeight="1" x14ac:dyDescent="0.25">
      <c r="A302" s="55"/>
      <c r="B302" s="59" t="s">
        <v>101</v>
      </c>
      <c r="C302" s="3" t="s">
        <v>202</v>
      </c>
      <c r="D302" s="3" t="s">
        <v>6</v>
      </c>
      <c r="E302" s="3" t="s">
        <v>217</v>
      </c>
      <c r="F302" s="3" t="s">
        <v>102</v>
      </c>
      <c r="G302" s="85">
        <f>[1]Свод!P1245/1000</f>
        <v>6.0119999999999996</v>
      </c>
      <c r="H302" s="85">
        <v>6.0119999999999996</v>
      </c>
      <c r="I302" s="85"/>
      <c r="J302" s="85">
        <f>H302+I302</f>
        <v>6.0119999999999996</v>
      </c>
      <c r="O302" s="1">
        <f t="shared" si="32"/>
        <v>0</v>
      </c>
    </row>
    <row r="303" spans="1:15" s="1" customFormat="1" ht="18" customHeight="1" x14ac:dyDescent="0.25">
      <c r="A303" s="141" t="s">
        <v>210</v>
      </c>
      <c r="B303" s="141"/>
      <c r="C303" s="3" t="s">
        <v>202</v>
      </c>
      <c r="D303" s="3" t="s">
        <v>6</v>
      </c>
      <c r="E303" s="3" t="s">
        <v>212</v>
      </c>
      <c r="F303" s="3"/>
      <c r="G303" s="85">
        <f>G304</f>
        <v>70</v>
      </c>
      <c r="H303" s="85">
        <f>H304</f>
        <v>70</v>
      </c>
      <c r="I303" s="85">
        <f>I304</f>
        <v>0</v>
      </c>
      <c r="J303" s="85">
        <f>J304</f>
        <v>86</v>
      </c>
      <c r="O303" s="1">
        <f t="shared" si="32"/>
        <v>0</v>
      </c>
    </row>
    <row r="304" spans="1:15" s="1" customFormat="1" ht="18" customHeight="1" x14ac:dyDescent="0.25">
      <c r="A304" s="55"/>
      <c r="B304" s="59" t="s">
        <v>101</v>
      </c>
      <c r="C304" s="3" t="s">
        <v>202</v>
      </c>
      <c r="D304" s="3" t="s">
        <v>6</v>
      </c>
      <c r="E304" s="3" t="s">
        <v>212</v>
      </c>
      <c r="F304" s="3" t="s">
        <v>102</v>
      </c>
      <c r="G304" s="85">
        <f>[1]Свод!L1305/1000</f>
        <v>70</v>
      </c>
      <c r="H304" s="85">
        <v>70</v>
      </c>
      <c r="I304" s="85"/>
      <c r="J304" s="85">
        <f>H304+I304+16</f>
        <v>86</v>
      </c>
      <c r="K304" s="1">
        <v>16</v>
      </c>
      <c r="O304" s="1">
        <f t="shared" si="32"/>
        <v>0</v>
      </c>
    </row>
    <row r="305" spans="1:15" s="1" customFormat="1" ht="28.5" customHeight="1" x14ac:dyDescent="0.25">
      <c r="A305" s="137" t="s">
        <v>639</v>
      </c>
      <c r="B305" s="138"/>
      <c r="C305" s="3" t="s">
        <v>202</v>
      </c>
      <c r="D305" s="3" t="s">
        <v>6</v>
      </c>
      <c r="E305" s="3" t="s">
        <v>640</v>
      </c>
      <c r="F305" s="3"/>
      <c r="G305" s="85" t="e">
        <f>G306</f>
        <v>#REF!</v>
      </c>
      <c r="H305" s="85">
        <f>H306</f>
        <v>1884.9</v>
      </c>
      <c r="I305" s="85">
        <f>I306</f>
        <v>0</v>
      </c>
      <c r="J305" s="85">
        <f>J306</f>
        <v>1884.9</v>
      </c>
      <c r="O305" s="1">
        <f t="shared" si="32"/>
        <v>0</v>
      </c>
    </row>
    <row r="306" spans="1:15" s="1" customFormat="1" ht="18" customHeight="1" x14ac:dyDescent="0.25">
      <c r="A306" s="55"/>
      <c r="B306" s="59" t="s">
        <v>101</v>
      </c>
      <c r="C306" s="3" t="s">
        <v>202</v>
      </c>
      <c r="D306" s="3" t="s">
        <v>6</v>
      </c>
      <c r="E306" s="3" t="s">
        <v>640</v>
      </c>
      <c r="F306" s="3" t="s">
        <v>102</v>
      </c>
      <c r="G306" s="85" t="e">
        <f>[1]Свод!O1251/1000</f>
        <v>#REF!</v>
      </c>
      <c r="H306" s="85">
        <v>1884.9</v>
      </c>
      <c r="I306" s="85"/>
      <c r="J306" s="85">
        <f>H306+I306</f>
        <v>1884.9</v>
      </c>
      <c r="O306" s="1">
        <f t="shared" si="32"/>
        <v>0</v>
      </c>
    </row>
    <row r="307" spans="1:15" s="1" customFormat="1" ht="27.75" customHeight="1" x14ac:dyDescent="0.25">
      <c r="A307" s="137" t="s">
        <v>641</v>
      </c>
      <c r="B307" s="138"/>
      <c r="C307" s="3" t="s">
        <v>202</v>
      </c>
      <c r="D307" s="3" t="s">
        <v>6</v>
      </c>
      <c r="E307" s="3" t="s">
        <v>642</v>
      </c>
      <c r="F307" s="3"/>
      <c r="G307" s="85" t="e">
        <f>G308</f>
        <v>#REF!</v>
      </c>
      <c r="H307" s="85">
        <f>H308</f>
        <v>52.103999999999999</v>
      </c>
      <c r="I307" s="85">
        <f>I308</f>
        <v>0</v>
      </c>
      <c r="J307" s="85">
        <f>J308</f>
        <v>52.103999999999999</v>
      </c>
      <c r="O307" s="1">
        <f t="shared" si="32"/>
        <v>0</v>
      </c>
    </row>
    <row r="308" spans="1:15" s="1" customFormat="1" ht="18" customHeight="1" x14ac:dyDescent="0.25">
      <c r="A308" s="55"/>
      <c r="B308" s="59" t="s">
        <v>101</v>
      </c>
      <c r="C308" s="3" t="s">
        <v>202</v>
      </c>
      <c r="D308" s="3" t="s">
        <v>6</v>
      </c>
      <c r="E308" s="3" t="s">
        <v>642</v>
      </c>
      <c r="F308" s="3" t="s">
        <v>102</v>
      </c>
      <c r="G308" s="85" t="e">
        <f>[1]Свод!P1251/1000</f>
        <v>#REF!</v>
      </c>
      <c r="H308" s="85">
        <v>52.103999999999999</v>
      </c>
      <c r="I308" s="85"/>
      <c r="J308" s="85">
        <f>H308+I308</f>
        <v>52.103999999999999</v>
      </c>
      <c r="O308" s="1">
        <f t="shared" si="32"/>
        <v>0</v>
      </c>
    </row>
    <row r="309" spans="1:15" s="1" customFormat="1" ht="28.5" customHeight="1" x14ac:dyDescent="0.25">
      <c r="A309" s="129" t="s">
        <v>643</v>
      </c>
      <c r="B309" s="129"/>
      <c r="C309" s="3" t="s">
        <v>202</v>
      </c>
      <c r="D309" s="3" t="s">
        <v>6</v>
      </c>
      <c r="E309" s="3" t="s">
        <v>42</v>
      </c>
      <c r="F309" s="3"/>
      <c r="G309" s="85" t="e">
        <f t="shared" ref="G309:J311" si="33">G310</f>
        <v>#REF!</v>
      </c>
      <c r="H309" s="85">
        <f t="shared" si="33"/>
        <v>30</v>
      </c>
      <c r="I309" s="85">
        <f t="shared" si="33"/>
        <v>0</v>
      </c>
      <c r="J309" s="85">
        <f t="shared" si="33"/>
        <v>30</v>
      </c>
      <c r="O309" s="1">
        <f t="shared" si="32"/>
        <v>0</v>
      </c>
    </row>
    <row r="310" spans="1:15" s="1" customFormat="1" ht="28.5" customHeight="1" x14ac:dyDescent="0.25">
      <c r="A310" s="129" t="s">
        <v>43</v>
      </c>
      <c r="B310" s="129"/>
      <c r="C310" s="3" t="s">
        <v>202</v>
      </c>
      <c r="D310" s="3" t="s">
        <v>6</v>
      </c>
      <c r="E310" s="3" t="s">
        <v>44</v>
      </c>
      <c r="F310" s="3"/>
      <c r="G310" s="85" t="e">
        <f t="shared" si="33"/>
        <v>#REF!</v>
      </c>
      <c r="H310" s="85">
        <f t="shared" si="33"/>
        <v>30</v>
      </c>
      <c r="I310" s="85">
        <f t="shared" si="33"/>
        <v>0</v>
      </c>
      <c r="J310" s="85">
        <f t="shared" si="33"/>
        <v>30</v>
      </c>
      <c r="O310" s="1">
        <f t="shared" si="32"/>
        <v>0</v>
      </c>
    </row>
    <row r="311" spans="1:15" s="1" customFormat="1" ht="39.75" customHeight="1" x14ac:dyDescent="0.25">
      <c r="A311" s="125" t="s">
        <v>644</v>
      </c>
      <c r="B311" s="125"/>
      <c r="C311" s="3" t="s">
        <v>202</v>
      </c>
      <c r="D311" s="3" t="s">
        <v>6</v>
      </c>
      <c r="E311" s="3" t="s">
        <v>223</v>
      </c>
      <c r="F311" s="3"/>
      <c r="G311" s="85" t="e">
        <f t="shared" si="33"/>
        <v>#REF!</v>
      </c>
      <c r="H311" s="85">
        <f t="shared" si="33"/>
        <v>30</v>
      </c>
      <c r="I311" s="85">
        <f t="shared" si="33"/>
        <v>0</v>
      </c>
      <c r="J311" s="85">
        <f t="shared" si="33"/>
        <v>30</v>
      </c>
      <c r="O311" s="1">
        <f t="shared" si="32"/>
        <v>0</v>
      </c>
    </row>
    <row r="312" spans="1:15" s="1" customFormat="1" ht="18" customHeight="1" x14ac:dyDescent="0.25">
      <c r="A312" s="55"/>
      <c r="B312" s="59" t="s">
        <v>101</v>
      </c>
      <c r="C312" s="3" t="s">
        <v>202</v>
      </c>
      <c r="D312" s="3" t="s">
        <v>6</v>
      </c>
      <c r="E312" s="3" t="s">
        <v>223</v>
      </c>
      <c r="F312" s="3" t="s">
        <v>102</v>
      </c>
      <c r="G312" s="85" t="e">
        <f>[1]Свод!P1255/1000</f>
        <v>#REF!</v>
      </c>
      <c r="H312" s="85">
        <v>30</v>
      </c>
      <c r="I312" s="85"/>
      <c r="J312" s="85">
        <f>H312+I312</f>
        <v>30</v>
      </c>
      <c r="O312" s="1">
        <f t="shared" si="32"/>
        <v>0</v>
      </c>
    </row>
    <row r="313" spans="1:15" s="1" customFormat="1" ht="15.75" customHeight="1" x14ac:dyDescent="0.25">
      <c r="A313" s="129" t="s">
        <v>621</v>
      </c>
      <c r="B313" s="129"/>
      <c r="C313" s="3" t="s">
        <v>202</v>
      </c>
      <c r="D313" s="3" t="s">
        <v>6</v>
      </c>
      <c r="E313" s="3" t="s">
        <v>47</v>
      </c>
      <c r="F313" s="3"/>
      <c r="G313" s="85">
        <f>G316+G314</f>
        <v>40</v>
      </c>
      <c r="H313" s="85">
        <f>H316+H314</f>
        <v>40</v>
      </c>
      <c r="I313" s="85">
        <f>I316+I314</f>
        <v>0</v>
      </c>
      <c r="J313" s="85">
        <f>J316+J314</f>
        <v>40</v>
      </c>
      <c r="O313" s="1">
        <f t="shared" si="32"/>
        <v>0</v>
      </c>
    </row>
    <row r="314" spans="1:15" s="1" customFormat="1" ht="27.75" customHeight="1" x14ac:dyDescent="0.25">
      <c r="A314" s="129" t="s">
        <v>645</v>
      </c>
      <c r="B314" s="129"/>
      <c r="C314" s="3" t="s">
        <v>202</v>
      </c>
      <c r="D314" s="3" t="s">
        <v>6</v>
      </c>
      <c r="E314" s="3" t="s">
        <v>646</v>
      </c>
      <c r="F314" s="3"/>
      <c r="G314" s="85">
        <f>G315</f>
        <v>20</v>
      </c>
      <c r="H314" s="85">
        <f>H315</f>
        <v>20</v>
      </c>
      <c r="I314" s="85">
        <f>I315</f>
        <v>0</v>
      </c>
      <c r="J314" s="85">
        <f>J315</f>
        <v>20</v>
      </c>
      <c r="O314" s="1">
        <f t="shared" si="32"/>
        <v>0</v>
      </c>
    </row>
    <row r="315" spans="1:15" s="1" customFormat="1" ht="28.5" customHeight="1" x14ac:dyDescent="0.25">
      <c r="A315" s="84"/>
      <c r="B315" s="59" t="s">
        <v>218</v>
      </c>
      <c r="C315" s="3" t="s">
        <v>202</v>
      </c>
      <c r="D315" s="3" t="s">
        <v>6</v>
      </c>
      <c r="E315" s="3" t="s">
        <v>646</v>
      </c>
      <c r="F315" s="3" t="s">
        <v>219</v>
      </c>
      <c r="G315" s="85">
        <f>[1]Свод!L1311/1000</f>
        <v>20</v>
      </c>
      <c r="H315" s="85">
        <v>20</v>
      </c>
      <c r="I315" s="85"/>
      <c r="J315" s="85">
        <f>H315+I315</f>
        <v>20</v>
      </c>
      <c r="O315" s="1">
        <f t="shared" si="32"/>
        <v>0</v>
      </c>
    </row>
    <row r="316" spans="1:15" s="1" customFormat="1" ht="27" customHeight="1" x14ac:dyDescent="0.25">
      <c r="A316" s="129" t="s">
        <v>647</v>
      </c>
      <c r="B316" s="129"/>
      <c r="C316" s="3" t="s">
        <v>202</v>
      </c>
      <c r="D316" s="3" t="s">
        <v>6</v>
      </c>
      <c r="E316" s="3" t="s">
        <v>648</v>
      </c>
      <c r="F316" s="3"/>
      <c r="G316" s="85">
        <f>G317</f>
        <v>20</v>
      </c>
      <c r="H316" s="85">
        <f>H317</f>
        <v>20</v>
      </c>
      <c r="I316" s="85">
        <f>I317</f>
        <v>0</v>
      </c>
      <c r="J316" s="85">
        <f>J317</f>
        <v>20</v>
      </c>
      <c r="O316" s="1">
        <f t="shared" si="32"/>
        <v>0</v>
      </c>
    </row>
    <row r="317" spans="1:15" s="1" customFormat="1" ht="27" customHeight="1" x14ac:dyDescent="0.25">
      <c r="A317" s="84"/>
      <c r="B317" s="59" t="s">
        <v>218</v>
      </c>
      <c r="C317" s="3" t="s">
        <v>202</v>
      </c>
      <c r="D317" s="3" t="s">
        <v>6</v>
      </c>
      <c r="E317" s="3" t="s">
        <v>648</v>
      </c>
      <c r="F317" s="3" t="s">
        <v>219</v>
      </c>
      <c r="G317" s="85">
        <f>[1]Свод!K1311/1000</f>
        <v>20</v>
      </c>
      <c r="H317" s="85">
        <v>20</v>
      </c>
      <c r="I317" s="85"/>
      <c r="J317" s="85">
        <f>H317+I317</f>
        <v>20</v>
      </c>
      <c r="O317" s="1">
        <f t="shared" si="32"/>
        <v>0</v>
      </c>
    </row>
    <row r="318" spans="1:15" s="6" customFormat="1" ht="16.5" customHeight="1" x14ac:dyDescent="0.25">
      <c r="A318" s="128" t="s">
        <v>220</v>
      </c>
      <c r="B318" s="128"/>
      <c r="C318" s="81" t="s">
        <v>202</v>
      </c>
      <c r="D318" s="81" t="s">
        <v>18</v>
      </c>
      <c r="E318" s="81"/>
      <c r="F318" s="81"/>
      <c r="G318" s="82">
        <f>G319+G323+G331</f>
        <v>475.30469680000004</v>
      </c>
      <c r="H318" s="82">
        <f>H319+H323+H328</f>
        <v>481.9</v>
      </c>
      <c r="I318" s="82">
        <f>I319+I323+I328</f>
        <v>0</v>
      </c>
      <c r="J318" s="82">
        <f>J319+J323+J328</f>
        <v>468.06199999999995</v>
      </c>
      <c r="O318" s="1">
        <f t="shared" si="32"/>
        <v>0</v>
      </c>
    </row>
    <row r="319" spans="1:15" s="1" customFormat="1" ht="40.5" customHeight="1" x14ac:dyDescent="0.25">
      <c r="A319" s="129" t="s">
        <v>9</v>
      </c>
      <c r="B319" s="129"/>
      <c r="C319" s="3" t="s">
        <v>202</v>
      </c>
      <c r="D319" s="3" t="s">
        <v>18</v>
      </c>
      <c r="E319" s="3" t="s">
        <v>19</v>
      </c>
      <c r="F319" s="3"/>
      <c r="G319" s="85">
        <f t="shared" ref="G319:J321" si="34">G320</f>
        <v>309.30469680000004</v>
      </c>
      <c r="H319" s="85">
        <f t="shared" si="34"/>
        <v>315.89999999999998</v>
      </c>
      <c r="I319" s="85">
        <f t="shared" si="34"/>
        <v>0</v>
      </c>
      <c r="J319" s="85">
        <f t="shared" si="34"/>
        <v>299.88399999999996</v>
      </c>
      <c r="O319" s="1">
        <f t="shared" si="32"/>
        <v>0</v>
      </c>
    </row>
    <row r="320" spans="1:15" s="1" customFormat="1" ht="14.25" customHeight="1" x14ac:dyDescent="0.25">
      <c r="A320" s="129" t="s">
        <v>11</v>
      </c>
      <c r="B320" s="129"/>
      <c r="C320" s="3" t="s">
        <v>202</v>
      </c>
      <c r="D320" s="3" t="s">
        <v>18</v>
      </c>
      <c r="E320" s="3" t="s">
        <v>12</v>
      </c>
      <c r="F320" s="3"/>
      <c r="G320" s="85">
        <f t="shared" si="34"/>
        <v>309.30469680000004</v>
      </c>
      <c r="H320" s="85">
        <f t="shared" si="34"/>
        <v>315.89999999999998</v>
      </c>
      <c r="I320" s="85">
        <f t="shared" si="34"/>
        <v>0</v>
      </c>
      <c r="J320" s="85">
        <f t="shared" si="34"/>
        <v>299.88399999999996</v>
      </c>
      <c r="O320" s="1">
        <f t="shared" si="32"/>
        <v>0</v>
      </c>
    </row>
    <row r="321" spans="1:15" s="1" customFormat="1" ht="17.25" customHeight="1" x14ac:dyDescent="0.25">
      <c r="A321" s="129" t="s">
        <v>221</v>
      </c>
      <c r="B321" s="129"/>
      <c r="C321" s="3" t="s">
        <v>202</v>
      </c>
      <c r="D321" s="3" t="s">
        <v>18</v>
      </c>
      <c r="E321" s="3" t="s">
        <v>222</v>
      </c>
      <c r="F321" s="3"/>
      <c r="G321" s="85">
        <f t="shared" si="34"/>
        <v>309.30469680000004</v>
      </c>
      <c r="H321" s="85">
        <f t="shared" si="34"/>
        <v>315.89999999999998</v>
      </c>
      <c r="I321" s="85">
        <f t="shared" si="34"/>
        <v>0</v>
      </c>
      <c r="J321" s="85">
        <f t="shared" si="34"/>
        <v>299.88399999999996</v>
      </c>
      <c r="O321" s="1">
        <f t="shared" si="32"/>
        <v>0</v>
      </c>
    </row>
    <row r="322" spans="1:15" s="1" customFormat="1" ht="12.75" x14ac:dyDescent="0.25">
      <c r="A322" s="55"/>
      <c r="B322" s="84" t="s">
        <v>40</v>
      </c>
      <c r="C322" s="3" t="s">
        <v>202</v>
      </c>
      <c r="D322" s="3" t="s">
        <v>18</v>
      </c>
      <c r="E322" s="3" t="s">
        <v>222</v>
      </c>
      <c r="F322" s="3" t="s">
        <v>41</v>
      </c>
      <c r="G322" s="85">
        <f>[1]Свод!J1343/1000</f>
        <v>309.30469680000004</v>
      </c>
      <c r="H322" s="85">
        <v>315.89999999999998</v>
      </c>
      <c r="I322" s="85"/>
      <c r="J322" s="85">
        <f>H322+I322-16.016</f>
        <v>299.88399999999996</v>
      </c>
      <c r="N322" s="1">
        <v>315.89999999999998</v>
      </c>
      <c r="O322" s="1">
        <f t="shared" si="32"/>
        <v>16.01613</v>
      </c>
    </row>
    <row r="323" spans="1:15" s="2" customFormat="1" ht="17.25" customHeight="1" x14ac:dyDescent="0.25">
      <c r="A323" s="129" t="s">
        <v>275</v>
      </c>
      <c r="B323" s="129"/>
      <c r="C323" s="88" t="s">
        <v>202</v>
      </c>
      <c r="D323" s="88" t="s">
        <v>18</v>
      </c>
      <c r="E323" s="88" t="s">
        <v>540</v>
      </c>
      <c r="F323" s="88"/>
      <c r="G323" s="63">
        <f t="shared" ref="G323:J324" si="35">G324</f>
        <v>156</v>
      </c>
      <c r="H323" s="63">
        <f t="shared" si="35"/>
        <v>156</v>
      </c>
      <c r="I323" s="63">
        <f t="shared" si="35"/>
        <v>0</v>
      </c>
      <c r="J323" s="63">
        <f t="shared" si="35"/>
        <v>156</v>
      </c>
      <c r="O323" s="1">
        <f t="shared" si="32"/>
        <v>0</v>
      </c>
    </row>
    <row r="324" spans="1:15" s="1" customFormat="1" ht="54" customHeight="1" x14ac:dyDescent="0.25">
      <c r="A324" s="129" t="s">
        <v>541</v>
      </c>
      <c r="B324" s="129"/>
      <c r="C324" s="3" t="s">
        <v>202</v>
      </c>
      <c r="D324" s="3" t="s">
        <v>18</v>
      </c>
      <c r="E324" s="3" t="s">
        <v>542</v>
      </c>
      <c r="F324" s="3"/>
      <c r="G324" s="85">
        <f t="shared" si="35"/>
        <v>156</v>
      </c>
      <c r="H324" s="85">
        <f t="shared" si="35"/>
        <v>156</v>
      </c>
      <c r="I324" s="85">
        <f t="shared" si="35"/>
        <v>0</v>
      </c>
      <c r="J324" s="85">
        <f t="shared" si="35"/>
        <v>156</v>
      </c>
      <c r="O324" s="1">
        <f t="shared" si="32"/>
        <v>0</v>
      </c>
    </row>
    <row r="325" spans="1:15" s="1" customFormat="1" ht="54" customHeight="1" x14ac:dyDescent="0.25">
      <c r="A325" s="129" t="s">
        <v>649</v>
      </c>
      <c r="B325" s="129"/>
      <c r="C325" s="3" t="s">
        <v>202</v>
      </c>
      <c r="D325" s="3" t="s">
        <v>18</v>
      </c>
      <c r="E325" s="3" t="s">
        <v>650</v>
      </c>
      <c r="F325" s="3"/>
      <c r="G325" s="85">
        <f>G327</f>
        <v>156</v>
      </c>
      <c r="H325" s="85">
        <f>H327+H326</f>
        <v>156</v>
      </c>
      <c r="I325" s="85">
        <f>I327+I326</f>
        <v>0</v>
      </c>
      <c r="J325" s="85">
        <f>J327+J326</f>
        <v>156</v>
      </c>
      <c r="O325" s="1">
        <f t="shared" si="32"/>
        <v>0</v>
      </c>
    </row>
    <row r="326" spans="1:15" s="1" customFormat="1" ht="14.25" customHeight="1" x14ac:dyDescent="0.25">
      <c r="A326" s="84"/>
      <c r="B326" s="84" t="s">
        <v>549</v>
      </c>
      <c r="C326" s="3" t="s">
        <v>202</v>
      </c>
      <c r="D326" s="3" t="s">
        <v>18</v>
      </c>
      <c r="E326" s="3" t="s">
        <v>650</v>
      </c>
      <c r="F326" s="3" t="s">
        <v>550</v>
      </c>
      <c r="G326" s="85"/>
      <c r="H326" s="85">
        <v>156</v>
      </c>
      <c r="I326" s="85"/>
      <c r="J326" s="85">
        <f>H326+I326</f>
        <v>156</v>
      </c>
      <c r="O326" s="1">
        <f t="shared" si="32"/>
        <v>0</v>
      </c>
    </row>
    <row r="327" spans="1:15" s="1" customFormat="1" ht="12.75" hidden="1" x14ac:dyDescent="0.25">
      <c r="A327" s="55"/>
      <c r="B327" s="84" t="s">
        <v>40</v>
      </c>
      <c r="C327" s="3" t="s">
        <v>202</v>
      </c>
      <c r="D327" s="3" t="s">
        <v>18</v>
      </c>
      <c r="E327" s="3" t="s">
        <v>650</v>
      </c>
      <c r="F327" s="3" t="s">
        <v>41</v>
      </c>
      <c r="G327" s="85">
        <f>[1]Свод!N1641/1000</f>
        <v>156</v>
      </c>
      <c r="H327" s="85">
        <v>0</v>
      </c>
      <c r="I327" s="85"/>
      <c r="J327" s="85">
        <f>H327+I327</f>
        <v>0</v>
      </c>
      <c r="O327" s="1">
        <f t="shared" si="32"/>
        <v>0</v>
      </c>
    </row>
    <row r="328" spans="1:15" s="1" customFormat="1" ht="15.75" customHeight="1" x14ac:dyDescent="0.25">
      <c r="A328" s="129" t="s">
        <v>243</v>
      </c>
      <c r="B328" s="129"/>
      <c r="C328" s="3" t="s">
        <v>202</v>
      </c>
      <c r="D328" s="3" t="s">
        <v>18</v>
      </c>
      <c r="E328" s="3" t="s">
        <v>244</v>
      </c>
      <c r="F328" s="3"/>
      <c r="G328" s="85">
        <f>G331+G334</f>
        <v>7324.1104045599996</v>
      </c>
      <c r="H328" s="85">
        <f>H331</f>
        <v>10</v>
      </c>
      <c r="I328" s="85">
        <f>I331</f>
        <v>0</v>
      </c>
      <c r="J328" s="85">
        <f>J329+J331</f>
        <v>12.178000000000001</v>
      </c>
      <c r="O328" s="1">
        <f t="shared" si="32"/>
        <v>0</v>
      </c>
    </row>
    <row r="329" spans="1:15" s="1" customFormat="1" ht="15.75" customHeight="1" x14ac:dyDescent="0.25">
      <c r="A329" s="137" t="s">
        <v>681</v>
      </c>
      <c r="B329" s="138"/>
      <c r="C329" s="3" t="s">
        <v>202</v>
      </c>
      <c r="D329" s="3" t="s">
        <v>18</v>
      </c>
      <c r="E329" s="3" t="s">
        <v>682</v>
      </c>
      <c r="F329" s="3"/>
      <c r="G329" s="85"/>
      <c r="H329" s="85"/>
      <c r="I329" s="85"/>
      <c r="J329" s="85">
        <f>J330</f>
        <v>2.1779999999999999</v>
      </c>
      <c r="O329" s="1">
        <f t="shared" si="32"/>
        <v>0</v>
      </c>
    </row>
    <row r="330" spans="1:15" s="1" customFormat="1" ht="15.75" customHeight="1" x14ac:dyDescent="0.25">
      <c r="A330" s="84"/>
      <c r="B330" s="84" t="s">
        <v>685</v>
      </c>
      <c r="C330" s="3" t="s">
        <v>202</v>
      </c>
      <c r="D330" s="3" t="s">
        <v>684</v>
      </c>
      <c r="E330" s="3" t="s">
        <v>682</v>
      </c>
      <c r="F330" s="3" t="s">
        <v>683</v>
      </c>
      <c r="G330" s="85"/>
      <c r="H330" s="85"/>
      <c r="I330" s="85"/>
      <c r="J330" s="85">
        <v>2.1779999999999999</v>
      </c>
      <c r="O330" s="1">
        <f t="shared" si="32"/>
        <v>0</v>
      </c>
    </row>
    <row r="331" spans="1:15" s="1" customFormat="1" ht="27.75" customHeight="1" x14ac:dyDescent="0.25">
      <c r="A331" s="129" t="s">
        <v>651</v>
      </c>
      <c r="B331" s="129"/>
      <c r="C331" s="3" t="s">
        <v>202</v>
      </c>
      <c r="D331" s="3" t="s">
        <v>18</v>
      </c>
      <c r="E331" s="3" t="s">
        <v>652</v>
      </c>
      <c r="F331" s="3"/>
      <c r="G331" s="85">
        <f>G333</f>
        <v>10</v>
      </c>
      <c r="H331" s="85">
        <f>H333+H332</f>
        <v>10</v>
      </c>
      <c r="I331" s="85">
        <f>I333+I332</f>
        <v>0</v>
      </c>
      <c r="J331" s="85">
        <f>J333+J332</f>
        <v>10</v>
      </c>
      <c r="O331" s="1">
        <f t="shared" si="32"/>
        <v>0</v>
      </c>
    </row>
    <row r="332" spans="1:15" s="1" customFormat="1" ht="28.5" customHeight="1" x14ac:dyDescent="0.25">
      <c r="A332" s="84"/>
      <c r="B332" s="59" t="s">
        <v>218</v>
      </c>
      <c r="C332" s="3" t="s">
        <v>202</v>
      </c>
      <c r="D332" s="3" t="s">
        <v>18</v>
      </c>
      <c r="E332" s="3" t="s">
        <v>652</v>
      </c>
      <c r="F332" s="3" t="s">
        <v>219</v>
      </c>
      <c r="G332" s="85" t="e">
        <f>[1]Свод!L1326/1000</f>
        <v>#REF!</v>
      </c>
      <c r="H332" s="85"/>
      <c r="I332" s="85">
        <v>10</v>
      </c>
      <c r="J332" s="85">
        <f>H332+I332</f>
        <v>10</v>
      </c>
      <c r="O332" s="1">
        <f t="shared" si="32"/>
        <v>0</v>
      </c>
    </row>
    <row r="333" spans="1:15" s="1" customFormat="1" ht="17.25" hidden="1" customHeight="1" x14ac:dyDescent="0.25">
      <c r="A333" s="55"/>
      <c r="B333" s="84" t="s">
        <v>40</v>
      </c>
      <c r="C333" s="3" t="s">
        <v>202</v>
      </c>
      <c r="D333" s="3" t="s">
        <v>18</v>
      </c>
      <c r="E333" s="3" t="s">
        <v>652</v>
      </c>
      <c r="F333" s="3" t="s">
        <v>41</v>
      </c>
      <c r="G333" s="85">
        <f>[1]Свод!M1311/1000</f>
        <v>10</v>
      </c>
      <c r="H333" s="85">
        <v>10</v>
      </c>
      <c r="I333" s="85">
        <v>-10</v>
      </c>
      <c r="J333" s="85">
        <f>H333+I333</f>
        <v>0</v>
      </c>
      <c r="O333" s="1">
        <f t="shared" ref="O333:O337" si="36">N333*5.07/100</f>
        <v>0</v>
      </c>
    </row>
    <row r="334" spans="1:15" s="4" customFormat="1" ht="16.5" customHeight="1" x14ac:dyDescent="0.25">
      <c r="A334" s="132" t="s">
        <v>224</v>
      </c>
      <c r="B334" s="132"/>
      <c r="C334" s="79" t="s">
        <v>46</v>
      </c>
      <c r="D334" s="79"/>
      <c r="E334" s="79"/>
      <c r="F334" s="79"/>
      <c r="G334" s="80">
        <f>G335+G339+G365+G378</f>
        <v>7314.1104045599996</v>
      </c>
      <c r="H334" s="80">
        <f>H335+H339+H365+H378</f>
        <v>7320.0999999999995</v>
      </c>
      <c r="I334" s="80">
        <f>I335+I339+I365+I378</f>
        <v>676.3</v>
      </c>
      <c r="J334" s="80">
        <f>J335+J339+J365+J378</f>
        <v>8821.0240000000013</v>
      </c>
      <c r="O334" s="1">
        <f t="shared" si="36"/>
        <v>0</v>
      </c>
    </row>
    <row r="335" spans="1:15" s="6" customFormat="1" ht="15" customHeight="1" x14ac:dyDescent="0.25">
      <c r="A335" s="128" t="s">
        <v>225</v>
      </c>
      <c r="B335" s="128"/>
      <c r="C335" s="81" t="s">
        <v>46</v>
      </c>
      <c r="D335" s="81" t="s">
        <v>6</v>
      </c>
      <c r="E335" s="81"/>
      <c r="F335" s="81"/>
      <c r="G335" s="86">
        <f t="shared" ref="G335:J337" si="37">G336</f>
        <v>1257.4104</v>
      </c>
      <c r="H335" s="86">
        <f t="shared" si="37"/>
        <v>1257.4000000000001</v>
      </c>
      <c r="I335" s="86">
        <f t="shared" si="37"/>
        <v>0</v>
      </c>
      <c r="J335" s="86">
        <f t="shared" si="37"/>
        <v>1242.798</v>
      </c>
      <c r="O335" s="1">
        <f t="shared" si="36"/>
        <v>0</v>
      </c>
    </row>
    <row r="336" spans="1:15" s="1" customFormat="1" ht="16.5" customHeight="1" x14ac:dyDescent="0.25">
      <c r="A336" s="129" t="s">
        <v>226</v>
      </c>
      <c r="B336" s="129"/>
      <c r="C336" s="3" t="s">
        <v>46</v>
      </c>
      <c r="D336" s="3" t="s">
        <v>6</v>
      </c>
      <c r="E336" s="3" t="s">
        <v>227</v>
      </c>
      <c r="F336" s="3"/>
      <c r="G336" s="85">
        <f t="shared" si="37"/>
        <v>1257.4104</v>
      </c>
      <c r="H336" s="85">
        <f t="shared" si="37"/>
        <v>1257.4000000000001</v>
      </c>
      <c r="I336" s="85">
        <f t="shared" si="37"/>
        <v>0</v>
      </c>
      <c r="J336" s="85">
        <f t="shared" si="37"/>
        <v>1242.798</v>
      </c>
      <c r="O336" s="1">
        <f t="shared" si="36"/>
        <v>0</v>
      </c>
    </row>
    <row r="337" spans="1:15" s="1" customFormat="1" ht="30" customHeight="1" x14ac:dyDescent="0.25">
      <c r="A337" s="129" t="s">
        <v>228</v>
      </c>
      <c r="B337" s="129"/>
      <c r="C337" s="3" t="s">
        <v>46</v>
      </c>
      <c r="D337" s="3" t="s">
        <v>6</v>
      </c>
      <c r="E337" s="3" t="s">
        <v>229</v>
      </c>
      <c r="F337" s="3"/>
      <c r="G337" s="85">
        <f t="shared" si="37"/>
        <v>1257.4104</v>
      </c>
      <c r="H337" s="85">
        <f t="shared" si="37"/>
        <v>1257.4000000000001</v>
      </c>
      <c r="I337" s="85">
        <f t="shared" si="37"/>
        <v>0</v>
      </c>
      <c r="J337" s="85">
        <f t="shared" si="37"/>
        <v>1242.798</v>
      </c>
      <c r="O337" s="1">
        <f t="shared" si="36"/>
        <v>0</v>
      </c>
    </row>
    <row r="338" spans="1:15" s="1" customFormat="1" ht="15.75" customHeight="1" x14ac:dyDescent="0.25">
      <c r="A338" s="91"/>
      <c r="B338" s="59" t="s">
        <v>230</v>
      </c>
      <c r="C338" s="3" t="s">
        <v>46</v>
      </c>
      <c r="D338" s="3" t="s">
        <v>6</v>
      </c>
      <c r="E338" s="3" t="s">
        <v>229</v>
      </c>
      <c r="F338" s="3" t="s">
        <v>231</v>
      </c>
      <c r="G338" s="85">
        <f>[1]Свод!K1575/1000</f>
        <v>1257.4104</v>
      </c>
      <c r="H338" s="85">
        <v>1257.4000000000001</v>
      </c>
      <c r="I338" s="85"/>
      <c r="J338" s="85">
        <f>H338+I338+52.3-66.902</f>
        <v>1242.798</v>
      </c>
      <c r="K338" s="1">
        <v>52.3</v>
      </c>
      <c r="N338" s="11">
        <f>J338+K338</f>
        <v>1295.098</v>
      </c>
      <c r="O338" s="1">
        <f>N338*5.07/100+0.5</f>
        <v>66.161468599999992</v>
      </c>
    </row>
    <row r="339" spans="1:15" s="6" customFormat="1" ht="18.75" customHeight="1" x14ac:dyDescent="0.25">
      <c r="A339" s="128" t="s">
        <v>232</v>
      </c>
      <c r="B339" s="128"/>
      <c r="C339" s="81" t="s">
        <v>46</v>
      </c>
      <c r="D339" s="81" t="s">
        <v>8</v>
      </c>
      <c r="E339" s="81"/>
      <c r="F339" s="81"/>
      <c r="G339" s="86">
        <f>G343+G348+G355</f>
        <v>193.89999999999998</v>
      </c>
      <c r="H339" s="86">
        <f>H340+H343+H348+H355</f>
        <v>199.89999999999998</v>
      </c>
      <c r="I339" s="86">
        <f>I340+I343+I348+I355</f>
        <v>20</v>
      </c>
      <c r="J339" s="86">
        <f>J340+J343+J348+J355</f>
        <v>1092.8920000000001</v>
      </c>
    </row>
    <row r="340" spans="1:15" s="1" customFormat="1" ht="15.75" customHeight="1" x14ac:dyDescent="0.25">
      <c r="A340" s="129" t="s">
        <v>26</v>
      </c>
      <c r="B340" s="129"/>
      <c r="C340" s="3" t="s">
        <v>46</v>
      </c>
      <c r="D340" s="3" t="s">
        <v>8</v>
      </c>
      <c r="E340" s="3" t="s">
        <v>28</v>
      </c>
      <c r="F340" s="3"/>
      <c r="G340" s="85">
        <f t="shared" ref="G340:J341" si="38">G341</f>
        <v>57</v>
      </c>
      <c r="H340" s="85">
        <f t="shared" si="38"/>
        <v>6</v>
      </c>
      <c r="I340" s="85">
        <f t="shared" si="38"/>
        <v>20</v>
      </c>
      <c r="J340" s="85">
        <f t="shared" si="38"/>
        <v>60.5</v>
      </c>
    </row>
    <row r="341" spans="1:15" s="1" customFormat="1" ht="15.75" customHeight="1" x14ac:dyDescent="0.25">
      <c r="A341" s="129" t="s">
        <v>29</v>
      </c>
      <c r="B341" s="129"/>
      <c r="C341" s="3" t="s">
        <v>46</v>
      </c>
      <c r="D341" s="3" t="s">
        <v>8</v>
      </c>
      <c r="E341" s="3" t="s">
        <v>30</v>
      </c>
      <c r="F341" s="3"/>
      <c r="G341" s="85">
        <f t="shared" si="38"/>
        <v>57</v>
      </c>
      <c r="H341" s="85">
        <f t="shared" si="38"/>
        <v>6</v>
      </c>
      <c r="I341" s="85">
        <f t="shared" si="38"/>
        <v>20</v>
      </c>
      <c r="J341" s="85">
        <f t="shared" si="38"/>
        <v>60.5</v>
      </c>
    </row>
    <row r="342" spans="1:15" s="1" customFormat="1" ht="15.75" customHeight="1" x14ac:dyDescent="0.25">
      <c r="A342" s="55"/>
      <c r="B342" s="59" t="s">
        <v>31</v>
      </c>
      <c r="C342" s="3" t="s">
        <v>46</v>
      </c>
      <c r="D342" s="3" t="s">
        <v>8</v>
      </c>
      <c r="E342" s="3" t="s">
        <v>30</v>
      </c>
      <c r="F342" s="3" t="s">
        <v>32</v>
      </c>
      <c r="G342" s="85">
        <v>57</v>
      </c>
      <c r="H342" s="85">
        <v>6</v>
      </c>
      <c r="I342" s="85">
        <v>20</v>
      </c>
      <c r="J342" s="85">
        <f>H342+I342+34.5</f>
        <v>60.5</v>
      </c>
    </row>
    <row r="343" spans="1:15" s="1" customFormat="1" ht="15.75" customHeight="1" x14ac:dyDescent="0.25">
      <c r="A343" s="129" t="s">
        <v>250</v>
      </c>
      <c r="B343" s="129"/>
      <c r="C343" s="3" t="s">
        <v>46</v>
      </c>
      <c r="D343" s="3" t="s">
        <v>8</v>
      </c>
      <c r="E343" s="3" t="s">
        <v>251</v>
      </c>
      <c r="F343" s="3"/>
      <c r="G343" s="85">
        <f t="shared" ref="G343:J346" si="39">G344</f>
        <v>38.200000000000003</v>
      </c>
      <c r="H343" s="85">
        <f>H344+H346</f>
        <v>38.200000000000003</v>
      </c>
      <c r="I343" s="85">
        <f>I344+I346</f>
        <v>0</v>
      </c>
      <c r="J343" s="85">
        <f>J344+J346</f>
        <v>38.200000000000003</v>
      </c>
    </row>
    <row r="344" spans="1:15" s="1" customFormat="1" ht="27.75" customHeight="1" x14ac:dyDescent="0.25">
      <c r="A344" s="129" t="s">
        <v>653</v>
      </c>
      <c r="B344" s="129"/>
      <c r="C344" s="3" t="s">
        <v>46</v>
      </c>
      <c r="D344" s="3" t="s">
        <v>8</v>
      </c>
      <c r="E344" s="3" t="s">
        <v>654</v>
      </c>
      <c r="F344" s="3"/>
      <c r="G344" s="85">
        <f t="shared" si="39"/>
        <v>38.200000000000003</v>
      </c>
      <c r="H344" s="85">
        <f t="shared" si="39"/>
        <v>0</v>
      </c>
      <c r="I344" s="85">
        <f t="shared" si="39"/>
        <v>0</v>
      </c>
      <c r="J344" s="85">
        <f t="shared" si="39"/>
        <v>0</v>
      </c>
    </row>
    <row r="345" spans="1:15" s="1" customFormat="1" ht="16.5" customHeight="1" x14ac:dyDescent="0.25">
      <c r="A345" s="55"/>
      <c r="B345" s="59" t="s">
        <v>230</v>
      </c>
      <c r="C345" s="3" t="s">
        <v>46</v>
      </c>
      <c r="D345" s="3" t="s">
        <v>8</v>
      </c>
      <c r="E345" s="3" t="s">
        <v>654</v>
      </c>
      <c r="F345" s="3" t="s">
        <v>231</v>
      </c>
      <c r="G345" s="85">
        <f>[1]Свод!O1608/1000</f>
        <v>38.200000000000003</v>
      </c>
      <c r="H345" s="85">
        <v>0</v>
      </c>
      <c r="I345" s="85">
        <v>0</v>
      </c>
      <c r="J345" s="85">
        <f>H345+I345</f>
        <v>0</v>
      </c>
    </row>
    <row r="346" spans="1:15" s="1" customFormat="1" ht="27.75" customHeight="1" x14ac:dyDescent="0.25">
      <c r="A346" s="129" t="s">
        <v>653</v>
      </c>
      <c r="B346" s="129"/>
      <c r="C346" s="3" t="s">
        <v>46</v>
      </c>
      <c r="D346" s="3" t="s">
        <v>8</v>
      </c>
      <c r="E346" s="3" t="s">
        <v>655</v>
      </c>
      <c r="F346" s="3"/>
      <c r="G346" s="85" t="e">
        <f t="shared" si="39"/>
        <v>#REF!</v>
      </c>
      <c r="H346" s="85">
        <f t="shared" si="39"/>
        <v>38.200000000000003</v>
      </c>
      <c r="I346" s="85">
        <f t="shared" si="39"/>
        <v>0</v>
      </c>
      <c r="J346" s="85">
        <f t="shared" si="39"/>
        <v>38.200000000000003</v>
      </c>
    </row>
    <row r="347" spans="1:15" s="1" customFormat="1" ht="16.5" customHeight="1" x14ac:dyDescent="0.25">
      <c r="A347" s="55"/>
      <c r="B347" s="59" t="s">
        <v>230</v>
      </c>
      <c r="C347" s="3" t="s">
        <v>46</v>
      </c>
      <c r="D347" s="3" t="s">
        <v>8</v>
      </c>
      <c r="E347" s="3" t="s">
        <v>655</v>
      </c>
      <c r="F347" s="3" t="s">
        <v>231</v>
      </c>
      <c r="G347" s="85" t="e">
        <f>[1]Свод!O1610/1000</f>
        <v>#REF!</v>
      </c>
      <c r="H347" s="85">
        <v>38.200000000000003</v>
      </c>
      <c r="I347" s="85"/>
      <c r="J347" s="85">
        <f>H347+I347</f>
        <v>38.200000000000003</v>
      </c>
    </row>
    <row r="348" spans="1:15" s="1" customFormat="1" ht="15" customHeight="1" x14ac:dyDescent="0.25">
      <c r="A348" s="129" t="s">
        <v>233</v>
      </c>
      <c r="B348" s="129"/>
      <c r="C348" s="3" t="s">
        <v>46</v>
      </c>
      <c r="D348" s="3" t="s">
        <v>8</v>
      </c>
      <c r="E348" s="3" t="s">
        <v>234</v>
      </c>
      <c r="F348" s="3"/>
      <c r="G348" s="85">
        <f t="shared" ref="G348:J349" si="40">G349</f>
        <v>25</v>
      </c>
      <c r="H348" s="85">
        <f t="shared" si="40"/>
        <v>25</v>
      </c>
      <c r="I348" s="85">
        <f t="shared" si="40"/>
        <v>0</v>
      </c>
      <c r="J348" s="85">
        <f t="shared" si="40"/>
        <v>25</v>
      </c>
    </row>
    <row r="349" spans="1:15" s="1" customFormat="1" ht="15.75" customHeight="1" x14ac:dyDescent="0.25">
      <c r="A349" s="129" t="s">
        <v>235</v>
      </c>
      <c r="B349" s="129"/>
      <c r="C349" s="3" t="s">
        <v>46</v>
      </c>
      <c r="D349" s="3" t="s">
        <v>8</v>
      </c>
      <c r="E349" s="3" t="s">
        <v>236</v>
      </c>
      <c r="F349" s="3"/>
      <c r="G349" s="85">
        <f t="shared" si="40"/>
        <v>25</v>
      </c>
      <c r="H349" s="85">
        <f t="shared" si="40"/>
        <v>25</v>
      </c>
      <c r="I349" s="85">
        <f t="shared" si="40"/>
        <v>0</v>
      </c>
      <c r="J349" s="85">
        <f t="shared" si="40"/>
        <v>25</v>
      </c>
    </row>
    <row r="350" spans="1:15" s="1" customFormat="1" ht="15.75" customHeight="1" x14ac:dyDescent="0.25">
      <c r="A350" s="59"/>
      <c r="B350" s="59" t="s">
        <v>31</v>
      </c>
      <c r="C350" s="3" t="s">
        <v>46</v>
      </c>
      <c r="D350" s="3" t="s">
        <v>8</v>
      </c>
      <c r="E350" s="3" t="s">
        <v>236</v>
      </c>
      <c r="F350" s="3" t="s">
        <v>32</v>
      </c>
      <c r="G350" s="85">
        <f>[1]Свод!L1575/1000</f>
        <v>25</v>
      </c>
      <c r="H350" s="85">
        <v>25</v>
      </c>
      <c r="I350" s="85"/>
      <c r="J350" s="85">
        <f>H350+I350</f>
        <v>25</v>
      </c>
    </row>
    <row r="351" spans="1:15" s="1" customFormat="1" ht="15.75" hidden="1" customHeight="1" x14ac:dyDescent="0.25">
      <c r="A351" s="129" t="s">
        <v>237</v>
      </c>
      <c r="B351" s="129"/>
      <c r="C351" s="3" t="s">
        <v>46</v>
      </c>
      <c r="D351" s="3" t="s">
        <v>8</v>
      </c>
      <c r="E351" s="3" t="s">
        <v>238</v>
      </c>
      <c r="F351" s="3"/>
      <c r="G351" s="85">
        <f t="shared" ref="G351:H353" si="41">G352</f>
        <v>0</v>
      </c>
      <c r="H351" s="85">
        <f t="shared" si="41"/>
        <v>0</v>
      </c>
      <c r="I351" s="85"/>
      <c r="J351" s="85">
        <f>H351+I351</f>
        <v>0</v>
      </c>
    </row>
    <row r="352" spans="1:15" s="1" customFormat="1" ht="16.5" hidden="1" customHeight="1" x14ac:dyDescent="0.25">
      <c r="A352" s="129" t="s">
        <v>239</v>
      </c>
      <c r="B352" s="129"/>
      <c r="C352" s="3" t="s">
        <v>46</v>
      </c>
      <c r="D352" s="3" t="s">
        <v>8</v>
      </c>
      <c r="E352" s="3" t="s">
        <v>240</v>
      </c>
      <c r="F352" s="3"/>
      <c r="G352" s="85">
        <f t="shared" si="41"/>
        <v>0</v>
      </c>
      <c r="H352" s="85">
        <f t="shared" si="41"/>
        <v>0</v>
      </c>
      <c r="I352" s="85"/>
      <c r="J352" s="85">
        <f>H352+I352</f>
        <v>0</v>
      </c>
    </row>
    <row r="353" spans="1:10" s="1" customFormat="1" ht="15.75" hidden="1" customHeight="1" x14ac:dyDescent="0.25">
      <c r="A353" s="129" t="s">
        <v>241</v>
      </c>
      <c r="B353" s="129"/>
      <c r="C353" s="3" t="s">
        <v>46</v>
      </c>
      <c r="D353" s="3" t="s">
        <v>8</v>
      </c>
      <c r="E353" s="3" t="s">
        <v>242</v>
      </c>
      <c r="F353" s="3"/>
      <c r="G353" s="85">
        <f t="shared" si="41"/>
        <v>0</v>
      </c>
      <c r="H353" s="85">
        <f t="shared" si="41"/>
        <v>0</v>
      </c>
      <c r="I353" s="85"/>
      <c r="J353" s="85">
        <f>H353+I353</f>
        <v>0</v>
      </c>
    </row>
    <row r="354" spans="1:10" s="1" customFormat="1" ht="16.5" hidden="1" customHeight="1" x14ac:dyDescent="0.25">
      <c r="A354" s="55"/>
      <c r="B354" s="59" t="s">
        <v>230</v>
      </c>
      <c r="C354" s="37">
        <v>10</v>
      </c>
      <c r="D354" s="3" t="s">
        <v>8</v>
      </c>
      <c r="E354" s="3" t="s">
        <v>242</v>
      </c>
      <c r="F354" s="3" t="s">
        <v>231</v>
      </c>
      <c r="G354" s="85"/>
      <c r="H354" s="85"/>
      <c r="I354" s="85"/>
      <c r="J354" s="85">
        <f>H354+I354</f>
        <v>0</v>
      </c>
    </row>
    <row r="355" spans="1:10" s="1" customFormat="1" ht="14.25" customHeight="1" x14ac:dyDescent="0.25">
      <c r="A355" s="129" t="s">
        <v>243</v>
      </c>
      <c r="B355" s="129"/>
      <c r="C355" s="3" t="s">
        <v>46</v>
      </c>
      <c r="D355" s="3" t="s">
        <v>8</v>
      </c>
      <c r="E355" s="3" t="s">
        <v>244</v>
      </c>
      <c r="F355" s="3"/>
      <c r="G355" s="85">
        <f>G359</f>
        <v>130.69999999999999</v>
      </c>
      <c r="H355" s="85">
        <f>H359</f>
        <v>130.69999999999999</v>
      </c>
      <c r="I355" s="85">
        <f>I359</f>
        <v>0</v>
      </c>
      <c r="J355" s="85">
        <f>J356+J359</f>
        <v>969.19200000000001</v>
      </c>
    </row>
    <row r="356" spans="1:10" s="1" customFormat="1" ht="14.25" customHeight="1" x14ac:dyDescent="0.25">
      <c r="A356" s="129" t="s">
        <v>673</v>
      </c>
      <c r="B356" s="129"/>
      <c r="C356" s="3" t="s">
        <v>46</v>
      </c>
      <c r="D356" s="3" t="s">
        <v>8</v>
      </c>
      <c r="E356" s="3" t="s">
        <v>674</v>
      </c>
      <c r="F356" s="3"/>
      <c r="G356" s="85"/>
      <c r="H356" s="85"/>
      <c r="I356" s="85"/>
      <c r="J356" s="85">
        <f>J357</f>
        <v>888.42600000000004</v>
      </c>
    </row>
    <row r="357" spans="1:10" s="1" customFormat="1" ht="14.25" customHeight="1" x14ac:dyDescent="0.25">
      <c r="A357" s="129" t="s">
        <v>675</v>
      </c>
      <c r="B357" s="129"/>
      <c r="C357" s="3" t="s">
        <v>46</v>
      </c>
      <c r="D357" s="3" t="s">
        <v>8</v>
      </c>
      <c r="E357" s="3" t="s">
        <v>676</v>
      </c>
      <c r="F357" s="3"/>
      <c r="G357" s="85"/>
      <c r="H357" s="85"/>
      <c r="I357" s="85"/>
      <c r="J357" s="85">
        <f>J358</f>
        <v>888.42600000000004</v>
      </c>
    </row>
    <row r="358" spans="1:10" s="1" customFormat="1" ht="14.25" customHeight="1" x14ac:dyDescent="0.25">
      <c r="A358" s="84"/>
      <c r="B358" s="59" t="s">
        <v>230</v>
      </c>
      <c r="C358" s="3" t="s">
        <v>46</v>
      </c>
      <c r="D358" s="3" t="s">
        <v>8</v>
      </c>
      <c r="E358" s="3" t="s">
        <v>676</v>
      </c>
      <c r="F358" s="3" t="s">
        <v>231</v>
      </c>
      <c r="G358" s="85"/>
      <c r="H358" s="85"/>
      <c r="I358" s="85"/>
      <c r="J358" s="85">
        <v>888.42600000000004</v>
      </c>
    </row>
    <row r="359" spans="1:10" s="1" customFormat="1" ht="27.75" customHeight="1" x14ac:dyDescent="0.25">
      <c r="A359" s="134" t="s">
        <v>656</v>
      </c>
      <c r="B359" s="134"/>
      <c r="C359" s="3" t="s">
        <v>46</v>
      </c>
      <c r="D359" s="3" t="s">
        <v>8</v>
      </c>
      <c r="E359" s="3" t="s">
        <v>657</v>
      </c>
      <c r="F359" s="3"/>
      <c r="G359" s="85">
        <f t="shared" ref="G359:J359" si="42">G360</f>
        <v>130.69999999999999</v>
      </c>
      <c r="H359" s="85">
        <f t="shared" si="42"/>
        <v>130.69999999999999</v>
      </c>
      <c r="I359" s="85">
        <f t="shared" si="42"/>
        <v>0</v>
      </c>
      <c r="J359" s="85">
        <f t="shared" si="42"/>
        <v>80.766000000000005</v>
      </c>
    </row>
    <row r="360" spans="1:10" s="1" customFormat="1" ht="16.5" customHeight="1" x14ac:dyDescent="0.25">
      <c r="A360" s="55"/>
      <c r="B360" s="59" t="s">
        <v>230</v>
      </c>
      <c r="C360" s="37">
        <v>10</v>
      </c>
      <c r="D360" s="3" t="s">
        <v>8</v>
      </c>
      <c r="E360" s="3" t="s">
        <v>657</v>
      </c>
      <c r="F360" s="3" t="s">
        <v>231</v>
      </c>
      <c r="G360" s="85">
        <f>[1]Свод!N1575/1000</f>
        <v>130.69999999999999</v>
      </c>
      <c r="H360" s="85">
        <v>130.69999999999999</v>
      </c>
      <c r="I360" s="85"/>
      <c r="J360" s="85">
        <v>80.766000000000005</v>
      </c>
    </row>
    <row r="361" spans="1:10" s="1" customFormat="1" ht="15.75" hidden="1" customHeight="1" x14ac:dyDescent="0.25">
      <c r="A361" s="129" t="s">
        <v>243</v>
      </c>
      <c r="B361" s="129"/>
      <c r="C361" s="3" t="s">
        <v>46</v>
      </c>
      <c r="D361" s="3" t="s">
        <v>8</v>
      </c>
      <c r="E361" s="3" t="s">
        <v>244</v>
      </c>
      <c r="F361" s="3"/>
      <c r="G361" s="85">
        <f t="shared" ref="G361:H363" si="43">G362</f>
        <v>0</v>
      </c>
      <c r="H361" s="85">
        <f t="shared" si="43"/>
        <v>0</v>
      </c>
      <c r="I361" s="85"/>
      <c r="J361" s="85">
        <f>H361+I361</f>
        <v>0</v>
      </c>
    </row>
    <row r="362" spans="1:10" s="1" customFormat="1" ht="16.5" hidden="1" customHeight="1" x14ac:dyDescent="0.25">
      <c r="A362" s="129" t="s">
        <v>245</v>
      </c>
      <c r="B362" s="129"/>
      <c r="C362" s="3" t="s">
        <v>46</v>
      </c>
      <c r="D362" s="3" t="s">
        <v>8</v>
      </c>
      <c r="E362" s="3" t="s">
        <v>246</v>
      </c>
      <c r="F362" s="3"/>
      <c r="G362" s="85">
        <f t="shared" si="43"/>
        <v>0</v>
      </c>
      <c r="H362" s="85">
        <f t="shared" si="43"/>
        <v>0</v>
      </c>
      <c r="I362" s="85"/>
      <c r="J362" s="85">
        <f>H362+I362</f>
        <v>0</v>
      </c>
    </row>
    <row r="363" spans="1:10" s="1" customFormat="1" ht="15" hidden="1" customHeight="1" x14ac:dyDescent="0.25">
      <c r="A363" s="134" t="s">
        <v>247</v>
      </c>
      <c r="B363" s="134"/>
      <c r="C363" s="37">
        <v>10</v>
      </c>
      <c r="D363" s="3" t="s">
        <v>8</v>
      </c>
      <c r="E363" s="3" t="s">
        <v>248</v>
      </c>
      <c r="F363" s="3"/>
      <c r="G363" s="85">
        <f t="shared" si="43"/>
        <v>0</v>
      </c>
      <c r="H363" s="85">
        <f t="shared" si="43"/>
        <v>0</v>
      </c>
      <c r="I363" s="85"/>
      <c r="J363" s="85">
        <f>H363+I363</f>
        <v>0</v>
      </c>
    </row>
    <row r="364" spans="1:10" s="1" customFormat="1" ht="16.5" hidden="1" customHeight="1" x14ac:dyDescent="0.25">
      <c r="A364" s="55"/>
      <c r="B364" s="59" t="s">
        <v>230</v>
      </c>
      <c r="C364" s="37">
        <v>10</v>
      </c>
      <c r="D364" s="3" t="s">
        <v>8</v>
      </c>
      <c r="E364" s="3" t="s">
        <v>248</v>
      </c>
      <c r="F364" s="3" t="s">
        <v>231</v>
      </c>
      <c r="G364" s="85"/>
      <c r="H364" s="85"/>
      <c r="I364" s="85"/>
      <c r="J364" s="85">
        <f>H364+I364</f>
        <v>0</v>
      </c>
    </row>
    <row r="365" spans="1:10" s="6" customFormat="1" ht="15" customHeight="1" x14ac:dyDescent="0.25">
      <c r="A365" s="128" t="s">
        <v>249</v>
      </c>
      <c r="B365" s="128"/>
      <c r="C365" s="81" t="s">
        <v>46</v>
      </c>
      <c r="D365" s="81" t="s">
        <v>18</v>
      </c>
      <c r="E365" s="81"/>
      <c r="F365" s="81"/>
      <c r="G365" s="86">
        <f>G366+G370</f>
        <v>5117.7999999999993</v>
      </c>
      <c r="H365" s="86">
        <f>H366+H370</f>
        <v>5117.7999999999993</v>
      </c>
      <c r="I365" s="86">
        <f>I366+I370</f>
        <v>656.3</v>
      </c>
      <c r="J365" s="86">
        <f>J366+J370</f>
        <v>5774.1</v>
      </c>
    </row>
    <row r="366" spans="1:10" s="1" customFormat="1" ht="14.25" customHeight="1" x14ac:dyDescent="0.25">
      <c r="A366" s="141" t="s">
        <v>250</v>
      </c>
      <c r="B366" s="141"/>
      <c r="C366" s="3" t="s">
        <v>46</v>
      </c>
      <c r="D366" s="3" t="s">
        <v>18</v>
      </c>
      <c r="E366" s="3" t="s">
        <v>251</v>
      </c>
      <c r="F366" s="3"/>
      <c r="G366" s="85">
        <f t="shared" ref="G366:J368" si="44">G367</f>
        <v>142.5</v>
      </c>
      <c r="H366" s="85">
        <f t="shared" si="44"/>
        <v>142.5</v>
      </c>
      <c r="I366" s="85">
        <f t="shared" si="44"/>
        <v>0</v>
      </c>
      <c r="J366" s="85">
        <f t="shared" si="44"/>
        <v>142.5</v>
      </c>
    </row>
    <row r="367" spans="1:10" s="1" customFormat="1" ht="27" customHeight="1" x14ac:dyDescent="0.25">
      <c r="A367" s="134" t="s">
        <v>252</v>
      </c>
      <c r="B367" s="134"/>
      <c r="C367" s="3" t="s">
        <v>46</v>
      </c>
      <c r="D367" s="3" t="s">
        <v>18</v>
      </c>
      <c r="E367" s="3" t="s">
        <v>253</v>
      </c>
      <c r="F367" s="3"/>
      <c r="G367" s="85">
        <f t="shared" si="44"/>
        <v>142.5</v>
      </c>
      <c r="H367" s="85">
        <f t="shared" si="44"/>
        <v>142.5</v>
      </c>
      <c r="I367" s="85">
        <f t="shared" si="44"/>
        <v>0</v>
      </c>
      <c r="J367" s="85">
        <f t="shared" si="44"/>
        <v>142.5</v>
      </c>
    </row>
    <row r="368" spans="1:10" s="1" customFormat="1" ht="27.75" customHeight="1" x14ac:dyDescent="0.25">
      <c r="A368" s="129" t="s">
        <v>254</v>
      </c>
      <c r="B368" s="129"/>
      <c r="C368" s="3" t="s">
        <v>46</v>
      </c>
      <c r="D368" s="3" t="s">
        <v>18</v>
      </c>
      <c r="E368" s="3" t="s">
        <v>255</v>
      </c>
      <c r="F368" s="3"/>
      <c r="G368" s="85">
        <f t="shared" si="44"/>
        <v>142.5</v>
      </c>
      <c r="H368" s="85">
        <f t="shared" si="44"/>
        <v>142.5</v>
      </c>
      <c r="I368" s="85">
        <f t="shared" si="44"/>
        <v>0</v>
      </c>
      <c r="J368" s="85">
        <f t="shared" si="44"/>
        <v>142.5</v>
      </c>
    </row>
    <row r="369" spans="1:10" s="1" customFormat="1" ht="15" customHeight="1" x14ac:dyDescent="0.25">
      <c r="A369" s="55"/>
      <c r="B369" s="59" t="s">
        <v>230</v>
      </c>
      <c r="C369" s="3" t="s">
        <v>46</v>
      </c>
      <c r="D369" s="3" t="s">
        <v>18</v>
      </c>
      <c r="E369" s="3" t="s">
        <v>255</v>
      </c>
      <c r="F369" s="3" t="s">
        <v>231</v>
      </c>
      <c r="G369" s="85">
        <f>[1]Свод!K1608/1000</f>
        <v>142.5</v>
      </c>
      <c r="H369" s="85">
        <v>142.5</v>
      </c>
      <c r="I369" s="85"/>
      <c r="J369" s="85">
        <f>H369+I369</f>
        <v>142.5</v>
      </c>
    </row>
    <row r="370" spans="1:10" s="1" customFormat="1" ht="14.25" customHeight="1" x14ac:dyDescent="0.25">
      <c r="A370" s="141" t="s">
        <v>169</v>
      </c>
      <c r="B370" s="141"/>
      <c r="C370" s="3" t="s">
        <v>46</v>
      </c>
      <c r="D370" s="3" t="s">
        <v>18</v>
      </c>
      <c r="E370" s="3" t="s">
        <v>170</v>
      </c>
      <c r="F370" s="3"/>
      <c r="G370" s="85">
        <f>G371+G373</f>
        <v>4975.2999999999993</v>
      </c>
      <c r="H370" s="85">
        <f>H371+H373</f>
        <v>4975.2999999999993</v>
      </c>
      <c r="I370" s="85">
        <f>I371+I373</f>
        <v>656.3</v>
      </c>
      <c r="J370" s="85">
        <f>J371+J373</f>
        <v>5631.6</v>
      </c>
    </row>
    <row r="371" spans="1:10" s="1" customFormat="1" ht="29.25" customHeight="1" x14ac:dyDescent="0.25">
      <c r="A371" s="134" t="s">
        <v>658</v>
      </c>
      <c r="B371" s="134"/>
      <c r="C371" s="3" t="s">
        <v>46</v>
      </c>
      <c r="D371" s="3" t="s">
        <v>18</v>
      </c>
      <c r="E371" s="3" t="s">
        <v>256</v>
      </c>
      <c r="F371" s="3"/>
      <c r="G371" s="85">
        <f>G372</f>
        <v>737.4</v>
      </c>
      <c r="H371" s="85">
        <f>H372</f>
        <v>737.4</v>
      </c>
      <c r="I371" s="85">
        <f>I372</f>
        <v>0</v>
      </c>
      <c r="J371" s="85">
        <f>J372</f>
        <v>737.4</v>
      </c>
    </row>
    <row r="372" spans="1:10" s="1" customFormat="1" ht="14.25" customHeight="1" x14ac:dyDescent="0.25">
      <c r="A372" s="55"/>
      <c r="B372" s="59" t="s">
        <v>230</v>
      </c>
      <c r="C372" s="3" t="s">
        <v>46</v>
      </c>
      <c r="D372" s="3" t="s">
        <v>18</v>
      </c>
      <c r="E372" s="3" t="s">
        <v>256</v>
      </c>
      <c r="F372" s="3" t="s">
        <v>231</v>
      </c>
      <c r="G372" s="85">
        <f>[1]Свод!N1608/1000</f>
        <v>737.4</v>
      </c>
      <c r="H372" s="85">
        <v>737.4</v>
      </c>
      <c r="I372" s="85"/>
      <c r="J372" s="85">
        <f>H372+I372</f>
        <v>737.4</v>
      </c>
    </row>
    <row r="373" spans="1:10" s="1" customFormat="1" ht="29.25" customHeight="1" x14ac:dyDescent="0.25">
      <c r="A373" s="134" t="s">
        <v>257</v>
      </c>
      <c r="B373" s="134"/>
      <c r="C373" s="3" t="s">
        <v>46</v>
      </c>
      <c r="D373" s="3" t="s">
        <v>18</v>
      </c>
      <c r="E373" s="3" t="s">
        <v>258</v>
      </c>
      <c r="F373" s="3"/>
      <c r="G373" s="85">
        <f>G374+G376</f>
        <v>4237.8999999999996</v>
      </c>
      <c r="H373" s="85">
        <f>H374+H376</f>
        <v>4237.8999999999996</v>
      </c>
      <c r="I373" s="85">
        <f>I374+I376</f>
        <v>656.3</v>
      </c>
      <c r="J373" s="85">
        <f>J374+J376</f>
        <v>4894.2000000000007</v>
      </c>
    </row>
    <row r="374" spans="1:10" s="1" customFormat="1" ht="41.25" customHeight="1" x14ac:dyDescent="0.25">
      <c r="A374" s="129" t="s">
        <v>259</v>
      </c>
      <c r="B374" s="129"/>
      <c r="C374" s="3" t="s">
        <v>260</v>
      </c>
      <c r="D374" s="3" t="s">
        <v>18</v>
      </c>
      <c r="E374" s="3" t="s">
        <v>261</v>
      </c>
      <c r="F374" s="3"/>
      <c r="G374" s="85">
        <f>G375</f>
        <v>2230.4</v>
      </c>
      <c r="H374" s="85">
        <f>H375</f>
        <v>2007.5</v>
      </c>
      <c r="I374" s="85">
        <f>I375</f>
        <v>382.5</v>
      </c>
      <c r="J374" s="85">
        <f>J375</f>
        <v>2390</v>
      </c>
    </row>
    <row r="375" spans="1:10" s="1" customFormat="1" ht="18" customHeight="1" x14ac:dyDescent="0.25">
      <c r="A375" s="55"/>
      <c r="B375" s="59" t="s">
        <v>230</v>
      </c>
      <c r="C375" s="3" t="s">
        <v>46</v>
      </c>
      <c r="D375" s="3" t="s">
        <v>18</v>
      </c>
      <c r="E375" s="3" t="s">
        <v>261</v>
      </c>
      <c r="F375" s="3" t="s">
        <v>231</v>
      </c>
      <c r="G375" s="85">
        <f>[1]Свод!L1608/1000</f>
        <v>2230.4</v>
      </c>
      <c r="H375" s="85">
        <v>2007.5</v>
      </c>
      <c r="I375" s="85">
        <v>382.5</v>
      </c>
      <c r="J375" s="85">
        <f>H375+I375</f>
        <v>2390</v>
      </c>
    </row>
    <row r="376" spans="1:10" s="1" customFormat="1" ht="28.5" customHeight="1" x14ac:dyDescent="0.25">
      <c r="A376" s="134" t="s">
        <v>262</v>
      </c>
      <c r="B376" s="134"/>
      <c r="C376" s="3" t="s">
        <v>46</v>
      </c>
      <c r="D376" s="3" t="s">
        <v>18</v>
      </c>
      <c r="E376" s="3" t="s">
        <v>263</v>
      </c>
      <c r="F376" s="3"/>
      <c r="G376" s="85">
        <f>G377</f>
        <v>2007.5</v>
      </c>
      <c r="H376" s="85">
        <f>H377</f>
        <v>2230.4</v>
      </c>
      <c r="I376" s="85">
        <f>I377</f>
        <v>273.8</v>
      </c>
      <c r="J376" s="85">
        <f>J377</f>
        <v>2504.2000000000003</v>
      </c>
    </row>
    <row r="377" spans="1:10" s="1" customFormat="1" ht="15" customHeight="1" x14ac:dyDescent="0.25">
      <c r="A377" s="55"/>
      <c r="B377" s="59" t="s">
        <v>230</v>
      </c>
      <c r="C377" s="3" t="s">
        <v>46</v>
      </c>
      <c r="D377" s="3" t="s">
        <v>18</v>
      </c>
      <c r="E377" s="3" t="s">
        <v>263</v>
      </c>
      <c r="F377" s="3" t="s">
        <v>231</v>
      </c>
      <c r="G377" s="85">
        <f>[1]Свод!M1608/1000</f>
        <v>2007.5</v>
      </c>
      <c r="H377" s="85">
        <v>2230.4</v>
      </c>
      <c r="I377" s="85">
        <v>273.8</v>
      </c>
      <c r="J377" s="85">
        <f>H377+I377</f>
        <v>2504.2000000000003</v>
      </c>
    </row>
    <row r="378" spans="1:10" s="6" customFormat="1" ht="17.25" customHeight="1" x14ac:dyDescent="0.25">
      <c r="A378" s="128" t="s">
        <v>264</v>
      </c>
      <c r="B378" s="128"/>
      <c r="C378" s="81" t="s">
        <v>46</v>
      </c>
      <c r="D378" s="81" t="s">
        <v>23</v>
      </c>
      <c r="E378" s="81"/>
      <c r="F378" s="81"/>
      <c r="G378" s="86">
        <f>G379+G385</f>
        <v>745.00000455999998</v>
      </c>
      <c r="H378" s="86">
        <f>H379+H385</f>
        <v>745</v>
      </c>
      <c r="I378" s="86">
        <f>I379+I385</f>
        <v>0</v>
      </c>
      <c r="J378" s="86">
        <f>J379+J385</f>
        <v>711.23400000000004</v>
      </c>
    </row>
    <row r="379" spans="1:10" s="1" customFormat="1" ht="15" customHeight="1" x14ac:dyDescent="0.25">
      <c r="A379" s="129" t="s">
        <v>275</v>
      </c>
      <c r="B379" s="129"/>
      <c r="C379" s="3" t="s">
        <v>46</v>
      </c>
      <c r="D379" s="3" t="s">
        <v>23</v>
      </c>
      <c r="E379" s="3" t="s">
        <v>540</v>
      </c>
      <c r="F379" s="3"/>
      <c r="G379" s="85">
        <f>G380</f>
        <v>470.00000455999998</v>
      </c>
      <c r="H379" s="85">
        <f>H380</f>
        <v>470</v>
      </c>
      <c r="I379" s="85">
        <f>I380</f>
        <v>0</v>
      </c>
      <c r="J379" s="85">
        <f>J380</f>
        <v>470</v>
      </c>
    </row>
    <row r="380" spans="1:10" s="1" customFormat="1" ht="54.75" customHeight="1" x14ac:dyDescent="0.25">
      <c r="A380" s="129" t="s">
        <v>541</v>
      </c>
      <c r="B380" s="129"/>
      <c r="C380" s="88" t="s">
        <v>46</v>
      </c>
      <c r="D380" s="88" t="s">
        <v>23</v>
      </c>
      <c r="E380" s="88" t="s">
        <v>542</v>
      </c>
      <c r="F380" s="88"/>
      <c r="G380" s="85">
        <f>G381+G383</f>
        <v>470.00000455999998</v>
      </c>
      <c r="H380" s="85">
        <f>H381+H383</f>
        <v>470</v>
      </c>
      <c r="I380" s="85">
        <f>I381+I383</f>
        <v>0</v>
      </c>
      <c r="J380" s="85">
        <f>J381+J383</f>
        <v>470</v>
      </c>
    </row>
    <row r="381" spans="1:10" s="1" customFormat="1" ht="27" customHeight="1" x14ac:dyDescent="0.25">
      <c r="A381" s="129" t="s">
        <v>659</v>
      </c>
      <c r="B381" s="129"/>
      <c r="C381" s="88" t="s">
        <v>46</v>
      </c>
      <c r="D381" s="88" t="s">
        <v>23</v>
      </c>
      <c r="E381" s="88" t="s">
        <v>660</v>
      </c>
      <c r="F381" s="88"/>
      <c r="G381" s="85">
        <f>G382</f>
        <v>235.00000199999999</v>
      </c>
      <c r="H381" s="85">
        <f>H382</f>
        <v>235</v>
      </c>
      <c r="I381" s="85">
        <f>I382</f>
        <v>0</v>
      </c>
      <c r="J381" s="85">
        <f>J382</f>
        <v>235</v>
      </c>
    </row>
    <row r="382" spans="1:10" s="1" customFormat="1" ht="14.25" customHeight="1" x14ac:dyDescent="0.25">
      <c r="A382" s="55"/>
      <c r="B382" s="84" t="s">
        <v>40</v>
      </c>
      <c r="C382" s="3" t="s">
        <v>46</v>
      </c>
      <c r="D382" s="3" t="s">
        <v>23</v>
      </c>
      <c r="E382" s="3" t="s">
        <v>660</v>
      </c>
      <c r="F382" s="3" t="s">
        <v>41</v>
      </c>
      <c r="G382" s="85">
        <f>[1]Свод!K136/1000</f>
        <v>235.00000199999999</v>
      </c>
      <c r="H382" s="85">
        <v>235</v>
      </c>
      <c r="I382" s="85"/>
      <c r="J382" s="85">
        <f>H382+I382</f>
        <v>235</v>
      </c>
    </row>
    <row r="383" spans="1:10" s="1" customFormat="1" ht="16.5" customHeight="1" x14ac:dyDescent="0.25">
      <c r="A383" s="129" t="s">
        <v>661</v>
      </c>
      <c r="B383" s="129"/>
      <c r="C383" s="3" t="s">
        <v>46</v>
      </c>
      <c r="D383" s="3" t="s">
        <v>23</v>
      </c>
      <c r="E383" s="3" t="s">
        <v>662</v>
      </c>
      <c r="F383" s="3"/>
      <c r="G383" s="85">
        <f>G384</f>
        <v>235.00000255999998</v>
      </c>
      <c r="H383" s="85">
        <f>H384</f>
        <v>235</v>
      </c>
      <c r="I383" s="85">
        <f>I384</f>
        <v>0</v>
      </c>
      <c r="J383" s="85">
        <f>J384</f>
        <v>235</v>
      </c>
    </row>
    <row r="384" spans="1:10" s="1" customFormat="1" ht="16.5" customHeight="1" x14ac:dyDescent="0.25">
      <c r="A384" s="55"/>
      <c r="B384" s="84" t="s">
        <v>40</v>
      </c>
      <c r="C384" s="3" t="s">
        <v>46</v>
      </c>
      <c r="D384" s="3" t="s">
        <v>23</v>
      </c>
      <c r="E384" s="3" t="s">
        <v>662</v>
      </c>
      <c r="F384" s="3" t="s">
        <v>41</v>
      </c>
      <c r="G384" s="85">
        <f>[1]Свод!M136/1000</f>
        <v>235.00000255999998</v>
      </c>
      <c r="H384" s="85">
        <v>235</v>
      </c>
      <c r="I384" s="85"/>
      <c r="J384" s="85">
        <f>H384+I384</f>
        <v>235</v>
      </c>
    </row>
    <row r="385" spans="1:15" s="1" customFormat="1" ht="14.25" customHeight="1" x14ac:dyDescent="0.25">
      <c r="A385" s="129" t="s">
        <v>243</v>
      </c>
      <c r="B385" s="129"/>
      <c r="C385" s="3" t="s">
        <v>46</v>
      </c>
      <c r="D385" s="3" t="s">
        <v>23</v>
      </c>
      <c r="E385" s="3" t="s">
        <v>244</v>
      </c>
      <c r="F385" s="3"/>
      <c r="G385" s="85">
        <f t="shared" ref="G385:J386" si="45">G386</f>
        <v>275</v>
      </c>
      <c r="H385" s="85">
        <f t="shared" si="45"/>
        <v>275</v>
      </c>
      <c r="I385" s="85">
        <f t="shared" si="45"/>
        <v>0</v>
      </c>
      <c r="J385" s="85">
        <f t="shared" si="45"/>
        <v>241.23400000000001</v>
      </c>
    </row>
    <row r="386" spans="1:15" s="1" customFormat="1" ht="27.75" customHeight="1" x14ac:dyDescent="0.25">
      <c r="A386" s="134" t="s">
        <v>663</v>
      </c>
      <c r="B386" s="134"/>
      <c r="C386" s="3" t="s">
        <v>46</v>
      </c>
      <c r="D386" s="3" t="s">
        <v>23</v>
      </c>
      <c r="E386" s="3" t="s">
        <v>664</v>
      </c>
      <c r="F386" s="3"/>
      <c r="G386" s="85">
        <f t="shared" si="45"/>
        <v>275</v>
      </c>
      <c r="H386" s="85">
        <f t="shared" si="45"/>
        <v>275</v>
      </c>
      <c r="I386" s="85">
        <f t="shared" si="45"/>
        <v>0</v>
      </c>
      <c r="J386" s="85">
        <f>J387</f>
        <v>241.23400000000001</v>
      </c>
      <c r="N386" s="1">
        <v>275</v>
      </c>
      <c r="O386" s="1">
        <f>N386*5.07/100+64.083-14.527+0.27</f>
        <v>63.768499999999996</v>
      </c>
    </row>
    <row r="387" spans="1:15" s="1" customFormat="1" ht="18" customHeight="1" x14ac:dyDescent="0.25">
      <c r="A387" s="55"/>
      <c r="B387" s="59" t="s">
        <v>235</v>
      </c>
      <c r="C387" s="37">
        <v>10</v>
      </c>
      <c r="D387" s="3" t="s">
        <v>23</v>
      </c>
      <c r="E387" s="3" t="s">
        <v>664</v>
      </c>
      <c r="F387" s="3" t="s">
        <v>265</v>
      </c>
      <c r="G387" s="85">
        <f>[1]Свод!M1575/1000</f>
        <v>275</v>
      </c>
      <c r="H387" s="85">
        <v>275</v>
      </c>
      <c r="I387" s="85"/>
      <c r="J387" s="85">
        <f>241.234</f>
        <v>241.23400000000001</v>
      </c>
    </row>
    <row r="388" spans="1:15" s="4" customFormat="1" ht="18" customHeight="1" x14ac:dyDescent="0.25">
      <c r="A388" s="132" t="s">
        <v>266</v>
      </c>
      <c r="B388" s="132"/>
      <c r="C388" s="79" t="s">
        <v>27</v>
      </c>
      <c r="D388" s="79"/>
      <c r="E388" s="79"/>
      <c r="F388" s="79"/>
      <c r="G388" s="80">
        <f t="shared" ref="G388:J390" si="46">G389</f>
        <v>40</v>
      </c>
      <c r="H388" s="80">
        <f t="shared" si="46"/>
        <v>424</v>
      </c>
      <c r="I388" s="80">
        <f t="shared" si="46"/>
        <v>0</v>
      </c>
      <c r="J388" s="80">
        <f t="shared" si="46"/>
        <v>424</v>
      </c>
    </row>
    <row r="389" spans="1:15" s="6" customFormat="1" ht="12.75" x14ac:dyDescent="0.25">
      <c r="A389" s="142" t="s">
        <v>267</v>
      </c>
      <c r="B389" s="142"/>
      <c r="C389" s="81" t="s">
        <v>27</v>
      </c>
      <c r="D389" s="81" t="s">
        <v>51</v>
      </c>
      <c r="E389" s="81"/>
      <c r="F389" s="81"/>
      <c r="G389" s="86">
        <f t="shared" si="46"/>
        <v>40</v>
      </c>
      <c r="H389" s="86">
        <f t="shared" si="46"/>
        <v>424</v>
      </c>
      <c r="I389" s="86">
        <f t="shared" si="46"/>
        <v>0</v>
      </c>
      <c r="J389" s="86">
        <f t="shared" si="46"/>
        <v>424</v>
      </c>
    </row>
    <row r="390" spans="1:15" s="1" customFormat="1" ht="18" customHeight="1" x14ac:dyDescent="0.25">
      <c r="A390" s="129" t="s">
        <v>268</v>
      </c>
      <c r="B390" s="129"/>
      <c r="C390" s="3" t="s">
        <v>27</v>
      </c>
      <c r="D390" s="3" t="s">
        <v>51</v>
      </c>
      <c r="E390" s="3" t="s">
        <v>269</v>
      </c>
      <c r="F390" s="3"/>
      <c r="G390" s="85">
        <f t="shared" si="46"/>
        <v>40</v>
      </c>
      <c r="H390" s="85">
        <f t="shared" si="46"/>
        <v>424</v>
      </c>
      <c r="I390" s="85">
        <f t="shared" si="46"/>
        <v>0</v>
      </c>
      <c r="J390" s="85">
        <f t="shared" si="46"/>
        <v>424</v>
      </c>
    </row>
    <row r="391" spans="1:15" s="1" customFormat="1" ht="18" customHeight="1" x14ac:dyDescent="0.25">
      <c r="A391" s="129" t="s">
        <v>270</v>
      </c>
      <c r="B391" s="129"/>
      <c r="C391" s="3" t="s">
        <v>27</v>
      </c>
      <c r="D391" s="3" t="s">
        <v>51</v>
      </c>
      <c r="E391" s="3" t="s">
        <v>271</v>
      </c>
      <c r="F391" s="3"/>
      <c r="G391" s="85">
        <f>G393</f>
        <v>40</v>
      </c>
      <c r="H391" s="85">
        <f>H393+H394</f>
        <v>424</v>
      </c>
      <c r="I391" s="85">
        <f>I393+I394</f>
        <v>0</v>
      </c>
      <c r="J391" s="85">
        <f>J393+J394</f>
        <v>424</v>
      </c>
    </row>
    <row r="392" spans="1:15" s="1" customFormat="1" ht="18" customHeight="1" x14ac:dyDescent="0.25">
      <c r="A392" s="129" t="s">
        <v>272</v>
      </c>
      <c r="B392" s="129"/>
      <c r="C392" s="3" t="s">
        <v>27</v>
      </c>
      <c r="D392" s="3" t="s">
        <v>51</v>
      </c>
      <c r="E392" s="3" t="s">
        <v>273</v>
      </c>
      <c r="F392" s="3"/>
      <c r="G392" s="85">
        <f>G393</f>
        <v>40</v>
      </c>
      <c r="H392" s="85">
        <f>H393</f>
        <v>40</v>
      </c>
      <c r="I392" s="85">
        <f>I393</f>
        <v>0</v>
      </c>
      <c r="J392" s="85">
        <f>J393</f>
        <v>40</v>
      </c>
    </row>
    <row r="393" spans="1:15" s="1" customFormat="1" ht="16.5" customHeight="1" x14ac:dyDescent="0.25">
      <c r="A393" s="84"/>
      <c r="B393" s="84" t="s">
        <v>40</v>
      </c>
      <c r="C393" s="3" t="s">
        <v>27</v>
      </c>
      <c r="D393" s="3" t="s">
        <v>51</v>
      </c>
      <c r="E393" s="3" t="s">
        <v>273</v>
      </c>
      <c r="F393" s="3" t="s">
        <v>41</v>
      </c>
      <c r="G393" s="85">
        <f>[1]Свод!J1509/1000</f>
        <v>40</v>
      </c>
      <c r="H393" s="85">
        <v>40</v>
      </c>
      <c r="I393" s="85"/>
      <c r="J393" s="85">
        <f>H393+I393</f>
        <v>40</v>
      </c>
    </row>
    <row r="394" spans="1:15" s="1" customFormat="1" ht="16.5" customHeight="1" x14ac:dyDescent="0.25">
      <c r="A394" s="129" t="s">
        <v>665</v>
      </c>
      <c r="B394" s="129"/>
      <c r="C394" s="3" t="s">
        <v>27</v>
      </c>
      <c r="D394" s="3" t="s">
        <v>51</v>
      </c>
      <c r="E394" s="3" t="s">
        <v>274</v>
      </c>
      <c r="F394" s="3"/>
      <c r="G394" s="85" t="e">
        <f>G395</f>
        <v>#REF!</v>
      </c>
      <c r="H394" s="85">
        <f>H395</f>
        <v>384</v>
      </c>
      <c r="I394" s="85">
        <f>I395</f>
        <v>0</v>
      </c>
      <c r="J394" s="85">
        <f>J395</f>
        <v>384</v>
      </c>
    </row>
    <row r="395" spans="1:15" s="1" customFormat="1" ht="16.5" customHeight="1" x14ac:dyDescent="0.25">
      <c r="A395" s="84"/>
      <c r="B395" s="84" t="s">
        <v>40</v>
      </c>
      <c r="C395" s="3" t="s">
        <v>27</v>
      </c>
      <c r="D395" s="3" t="s">
        <v>51</v>
      </c>
      <c r="E395" s="3" t="s">
        <v>274</v>
      </c>
      <c r="F395" s="3" t="s">
        <v>41</v>
      </c>
      <c r="G395" s="85" t="e">
        <f>[1]Свод!J1511/1000</f>
        <v>#REF!</v>
      </c>
      <c r="H395" s="85">
        <v>384</v>
      </c>
      <c r="I395" s="85"/>
      <c r="J395" s="85">
        <f>H395+I395</f>
        <v>384</v>
      </c>
    </row>
    <row r="396" spans="1:15" s="94" customFormat="1" ht="29.25" customHeight="1" x14ac:dyDescent="0.25">
      <c r="A396" s="132" t="s">
        <v>666</v>
      </c>
      <c r="B396" s="132"/>
      <c r="C396" s="92" t="s">
        <v>276</v>
      </c>
      <c r="D396" s="92"/>
      <c r="E396" s="92"/>
      <c r="F396" s="92"/>
      <c r="G396" s="93">
        <f>G397+G406</f>
        <v>24089</v>
      </c>
      <c r="H396" s="93">
        <f>H397+H406</f>
        <v>24089</v>
      </c>
      <c r="I396" s="93">
        <f>I397+I406</f>
        <v>0</v>
      </c>
      <c r="J396" s="93">
        <f>J397+J406</f>
        <v>24089</v>
      </c>
    </row>
    <row r="397" spans="1:15" s="6" customFormat="1" ht="28.5" customHeight="1" x14ac:dyDescent="0.25">
      <c r="A397" s="128" t="s">
        <v>277</v>
      </c>
      <c r="B397" s="128"/>
      <c r="C397" s="95" t="s">
        <v>276</v>
      </c>
      <c r="D397" s="95" t="s">
        <v>6</v>
      </c>
      <c r="E397" s="96"/>
      <c r="F397" s="95"/>
      <c r="G397" s="97">
        <f>G402</f>
        <v>4654</v>
      </c>
      <c r="H397" s="97">
        <f>H402+H398</f>
        <v>4654</v>
      </c>
      <c r="I397" s="97">
        <f>I402+I398</f>
        <v>0</v>
      </c>
      <c r="J397" s="97">
        <f>J402+J398</f>
        <v>4654</v>
      </c>
    </row>
    <row r="398" spans="1:15" s="1" customFormat="1" ht="15.75" customHeight="1" x14ac:dyDescent="0.25">
      <c r="A398" s="129" t="s">
        <v>275</v>
      </c>
      <c r="B398" s="129"/>
      <c r="C398" s="3" t="s">
        <v>276</v>
      </c>
      <c r="D398" s="3" t="s">
        <v>6</v>
      </c>
      <c r="E398" s="3" t="s">
        <v>540</v>
      </c>
      <c r="F398" s="3"/>
      <c r="G398" s="85" t="e">
        <f>G399</f>
        <v>#REF!</v>
      </c>
      <c r="H398" s="85">
        <f>H399</f>
        <v>4654</v>
      </c>
      <c r="I398" s="85">
        <f>I399</f>
        <v>0</v>
      </c>
      <c r="J398" s="85">
        <f>J399</f>
        <v>4654</v>
      </c>
    </row>
    <row r="399" spans="1:15" s="1" customFormat="1" ht="56.25" customHeight="1" x14ac:dyDescent="0.25">
      <c r="A399" s="129" t="s">
        <v>541</v>
      </c>
      <c r="B399" s="129"/>
      <c r="C399" s="3" t="s">
        <v>276</v>
      </c>
      <c r="D399" s="3" t="s">
        <v>6</v>
      </c>
      <c r="E399" s="3" t="s">
        <v>542</v>
      </c>
      <c r="F399" s="3"/>
      <c r="G399" s="85" t="e">
        <f>G400+G405</f>
        <v>#REF!</v>
      </c>
      <c r="H399" s="85">
        <f t="shared" ref="H399:J400" si="47">H400</f>
        <v>4654</v>
      </c>
      <c r="I399" s="85">
        <f t="shared" si="47"/>
        <v>0</v>
      </c>
      <c r="J399" s="85">
        <f t="shared" si="47"/>
        <v>4654</v>
      </c>
    </row>
    <row r="400" spans="1:15" s="1" customFormat="1" ht="24.75" customHeight="1" x14ac:dyDescent="0.25">
      <c r="A400" s="134" t="s">
        <v>667</v>
      </c>
      <c r="B400" s="134"/>
      <c r="C400" s="3" t="s">
        <v>276</v>
      </c>
      <c r="D400" s="3" t="s">
        <v>6</v>
      </c>
      <c r="E400" s="3" t="s">
        <v>668</v>
      </c>
      <c r="F400" s="3"/>
      <c r="G400" s="85" t="e">
        <f>G401</f>
        <v>#REF!</v>
      </c>
      <c r="H400" s="85">
        <f t="shared" si="47"/>
        <v>4654</v>
      </c>
      <c r="I400" s="85">
        <f t="shared" si="47"/>
        <v>0</v>
      </c>
      <c r="J400" s="85">
        <f t="shared" si="47"/>
        <v>4654</v>
      </c>
    </row>
    <row r="401" spans="1:15" s="1" customFormat="1" ht="18" customHeight="1" x14ac:dyDescent="0.25">
      <c r="A401" s="55"/>
      <c r="B401" s="59" t="s">
        <v>279</v>
      </c>
      <c r="C401" s="3" t="s">
        <v>276</v>
      </c>
      <c r="D401" s="3" t="s">
        <v>6</v>
      </c>
      <c r="E401" s="3" t="s">
        <v>668</v>
      </c>
      <c r="F401" s="3" t="s">
        <v>280</v>
      </c>
      <c r="G401" s="85" t="e">
        <f>[1]Свод!L1632/1000</f>
        <v>#REF!</v>
      </c>
      <c r="H401" s="85">
        <v>4654</v>
      </c>
      <c r="I401" s="85"/>
      <c r="J401" s="85">
        <f>H401+I401</f>
        <v>4654</v>
      </c>
    </row>
    <row r="402" spans="1:15" s="1" customFormat="1" ht="28.5" hidden="1" customHeight="1" x14ac:dyDescent="0.25">
      <c r="A402" s="129" t="s">
        <v>643</v>
      </c>
      <c r="B402" s="129"/>
      <c r="C402" s="3" t="s">
        <v>276</v>
      </c>
      <c r="D402" s="3" t="s">
        <v>6</v>
      </c>
      <c r="E402" s="3" t="s">
        <v>42</v>
      </c>
      <c r="F402" s="3"/>
      <c r="G402" s="85">
        <f t="shared" ref="G402:J404" si="48">G403</f>
        <v>4654</v>
      </c>
      <c r="H402" s="85">
        <f t="shared" si="48"/>
        <v>0</v>
      </c>
      <c r="I402" s="85">
        <f t="shared" si="48"/>
        <v>0</v>
      </c>
      <c r="J402" s="85">
        <f t="shared" si="48"/>
        <v>0</v>
      </c>
    </row>
    <row r="403" spans="1:15" s="1" customFormat="1" ht="28.5" hidden="1" customHeight="1" x14ac:dyDescent="0.25">
      <c r="A403" s="129" t="s">
        <v>43</v>
      </c>
      <c r="B403" s="129"/>
      <c r="C403" s="3" t="s">
        <v>276</v>
      </c>
      <c r="D403" s="3" t="s">
        <v>6</v>
      </c>
      <c r="E403" s="3" t="s">
        <v>44</v>
      </c>
      <c r="F403" s="3"/>
      <c r="G403" s="85">
        <f t="shared" si="48"/>
        <v>4654</v>
      </c>
      <c r="H403" s="85">
        <f t="shared" si="48"/>
        <v>0</v>
      </c>
      <c r="I403" s="85">
        <f t="shared" si="48"/>
        <v>0</v>
      </c>
      <c r="J403" s="85">
        <f t="shared" si="48"/>
        <v>0</v>
      </c>
    </row>
    <row r="404" spans="1:15" s="1" customFormat="1" ht="27.75" hidden="1" customHeight="1" x14ac:dyDescent="0.25">
      <c r="A404" s="134" t="s">
        <v>667</v>
      </c>
      <c r="B404" s="134"/>
      <c r="C404" s="3" t="s">
        <v>276</v>
      </c>
      <c r="D404" s="3" t="s">
        <v>6</v>
      </c>
      <c r="E404" s="3" t="s">
        <v>278</v>
      </c>
      <c r="F404" s="3"/>
      <c r="G404" s="85">
        <f t="shared" si="48"/>
        <v>4654</v>
      </c>
      <c r="H404" s="85">
        <f t="shared" si="48"/>
        <v>0</v>
      </c>
      <c r="I404" s="85">
        <f t="shared" si="48"/>
        <v>0</v>
      </c>
      <c r="J404" s="85">
        <f t="shared" si="48"/>
        <v>0</v>
      </c>
    </row>
    <row r="405" spans="1:15" s="1" customFormat="1" ht="17.25" hidden="1" customHeight="1" x14ac:dyDescent="0.25">
      <c r="A405" s="55"/>
      <c r="B405" s="59" t="s">
        <v>279</v>
      </c>
      <c r="C405" s="3" t="s">
        <v>276</v>
      </c>
      <c r="D405" s="3" t="s">
        <v>6</v>
      </c>
      <c r="E405" s="3" t="s">
        <v>278</v>
      </c>
      <c r="F405" s="3" t="s">
        <v>280</v>
      </c>
      <c r="G405" s="85">
        <f>[1]Свод!K1641/1000</f>
        <v>4654</v>
      </c>
      <c r="H405" s="85">
        <v>0</v>
      </c>
      <c r="I405" s="85"/>
      <c r="J405" s="85">
        <f>H405+I405</f>
        <v>0</v>
      </c>
    </row>
    <row r="406" spans="1:15" s="6" customFormat="1" ht="17.25" customHeight="1" x14ac:dyDescent="0.25">
      <c r="A406" s="143" t="s">
        <v>281</v>
      </c>
      <c r="B406" s="143"/>
      <c r="C406" s="81" t="s">
        <v>276</v>
      </c>
      <c r="D406" s="81" t="s">
        <v>51</v>
      </c>
      <c r="E406" s="81"/>
      <c r="F406" s="81"/>
      <c r="G406" s="86">
        <f>G407</f>
        <v>19435</v>
      </c>
      <c r="H406" s="86">
        <f>H407</f>
        <v>19435</v>
      </c>
      <c r="I406" s="86">
        <f t="shared" ref="I406:J408" si="49">I407</f>
        <v>0</v>
      </c>
      <c r="J406" s="86">
        <f t="shared" si="49"/>
        <v>19435</v>
      </c>
    </row>
    <row r="407" spans="1:15" s="1" customFormat="1" ht="15.75" customHeight="1" x14ac:dyDescent="0.25">
      <c r="A407" s="129" t="s">
        <v>275</v>
      </c>
      <c r="B407" s="129"/>
      <c r="C407" s="3" t="s">
        <v>276</v>
      </c>
      <c r="D407" s="3" t="s">
        <v>51</v>
      </c>
      <c r="E407" s="3" t="s">
        <v>540</v>
      </c>
      <c r="F407" s="3"/>
      <c r="G407" s="85">
        <f>G408</f>
        <v>19435</v>
      </c>
      <c r="H407" s="85">
        <f>H408</f>
        <v>19435</v>
      </c>
      <c r="I407" s="85">
        <f t="shared" si="49"/>
        <v>0</v>
      </c>
      <c r="J407" s="85">
        <f t="shared" si="49"/>
        <v>19435</v>
      </c>
    </row>
    <row r="408" spans="1:15" s="1" customFormat="1" ht="56.25" customHeight="1" x14ac:dyDescent="0.25">
      <c r="A408" s="129" t="s">
        <v>541</v>
      </c>
      <c r="B408" s="129"/>
      <c r="C408" s="3" t="s">
        <v>276</v>
      </c>
      <c r="D408" s="3" t="s">
        <v>51</v>
      </c>
      <c r="E408" s="3" t="s">
        <v>542</v>
      </c>
      <c r="F408" s="3"/>
      <c r="G408" s="85">
        <f>G409+G422</f>
        <v>19435</v>
      </c>
      <c r="H408" s="85">
        <f>H409</f>
        <v>19435</v>
      </c>
      <c r="I408" s="85">
        <f t="shared" si="49"/>
        <v>0</v>
      </c>
      <c r="J408" s="85">
        <f t="shared" si="49"/>
        <v>19435</v>
      </c>
    </row>
    <row r="409" spans="1:15" s="1" customFormat="1" ht="24.75" customHeight="1" x14ac:dyDescent="0.25">
      <c r="A409" s="134" t="s">
        <v>669</v>
      </c>
      <c r="B409" s="134"/>
      <c r="C409" s="3" t="s">
        <v>276</v>
      </c>
      <c r="D409" s="3" t="s">
        <v>51</v>
      </c>
      <c r="E409" s="3" t="s">
        <v>670</v>
      </c>
      <c r="F409" s="3"/>
      <c r="G409" s="85">
        <f>G410</f>
        <v>19435</v>
      </c>
      <c r="H409" s="85">
        <f>H410</f>
        <v>19435</v>
      </c>
      <c r="I409" s="85">
        <f>I410</f>
        <v>0</v>
      </c>
      <c r="J409" s="85">
        <f>J410</f>
        <v>19435</v>
      </c>
    </row>
    <row r="410" spans="1:15" s="1" customFormat="1" ht="18" customHeight="1" x14ac:dyDescent="0.25">
      <c r="A410" s="55"/>
      <c r="B410" s="59" t="s">
        <v>279</v>
      </c>
      <c r="C410" s="3" t="s">
        <v>276</v>
      </c>
      <c r="D410" s="3" t="s">
        <v>51</v>
      </c>
      <c r="E410" s="3" t="s">
        <v>670</v>
      </c>
      <c r="F410" s="3" t="s">
        <v>280</v>
      </c>
      <c r="G410" s="85">
        <f>[1]Свод!L1641/1000</f>
        <v>19435</v>
      </c>
      <c r="H410" s="85">
        <v>19435</v>
      </c>
      <c r="I410" s="85"/>
      <c r="J410" s="85">
        <f>H410+I410</f>
        <v>19435</v>
      </c>
    </row>
    <row r="411" spans="1:15" s="6" customFormat="1" ht="17.25" customHeight="1" x14ac:dyDescent="0.25">
      <c r="A411" s="51"/>
      <c r="B411" s="53" t="s">
        <v>282</v>
      </c>
      <c r="C411" s="81"/>
      <c r="D411" s="81"/>
      <c r="E411" s="81"/>
      <c r="F411" s="81"/>
      <c r="G411" s="86" t="e">
        <f>G4+G59+G66+G81+G117+G123+G285+G334+G388+G396</f>
        <v>#REF!</v>
      </c>
      <c r="H411" s="86">
        <f>H4+H59+H66+H81+H117+H123+H285+H334+H388+H396</f>
        <v>158634.74799999999</v>
      </c>
      <c r="I411" s="86">
        <f>I4+I59+I66+I81+I117+I123+I285+I334+I388+I396</f>
        <v>5750.424</v>
      </c>
      <c r="J411" s="86">
        <f>J4+J59+J66+J81+J117+J123+J285+J334+J388+J396</f>
        <v>162335.976</v>
      </c>
      <c r="K411" s="86">
        <f>SUM(K4:K410)</f>
        <v>-1105.5999999999999</v>
      </c>
      <c r="L411" s="86"/>
      <c r="M411" s="86"/>
      <c r="N411" s="86">
        <f t="shared" ref="N411:O411" si="50">SUM(N4:N410)</f>
        <v>47974.099999999991</v>
      </c>
      <c r="O411" s="86">
        <f t="shared" si="50"/>
        <v>2567.112869999999</v>
      </c>
    </row>
    <row r="412" spans="1:15" s="1" customFormat="1" ht="12.75" x14ac:dyDescent="0.25">
      <c r="A412" s="9"/>
      <c r="B412" s="38"/>
      <c r="C412" s="7"/>
      <c r="D412" s="7"/>
      <c r="E412" s="7"/>
      <c r="F412" s="7"/>
      <c r="G412" s="9"/>
      <c r="H412" s="9"/>
      <c r="I412" s="8"/>
      <c r="J412" s="11"/>
    </row>
    <row r="413" spans="1:15" s="1" customFormat="1" ht="12.75" x14ac:dyDescent="0.25"/>
    <row r="414" spans="1:15" s="1" customFormat="1" ht="12.75" x14ac:dyDescent="0.25"/>
    <row r="415" spans="1:15" s="1" customFormat="1" ht="12.75" x14ac:dyDescent="0.25"/>
    <row r="416" spans="1:15" s="1" customFormat="1" ht="12.75" x14ac:dyDescent="0.25"/>
    <row r="417" spans="1:15" s="1" customFormat="1" ht="12.75" x14ac:dyDescent="0.25"/>
    <row r="418" spans="1:15" s="1" customFormat="1" ht="12.75" x14ac:dyDescent="0.25"/>
    <row r="419" spans="1:15" s="1" customFormat="1" ht="12.75" x14ac:dyDescent="0.25"/>
    <row r="420" spans="1:15" x14ac:dyDescent="0.25">
      <c r="A420" s="99"/>
      <c r="B420" s="100"/>
      <c r="C420" s="17"/>
      <c r="D420" s="17"/>
      <c r="E420" s="17"/>
      <c r="F420" s="18"/>
      <c r="G420" s="19"/>
      <c r="H420" s="99"/>
      <c r="I420" s="99"/>
      <c r="J420" s="101">
        <f>J411-J421</f>
        <v>0</v>
      </c>
    </row>
    <row r="421" spans="1:15" ht="12.75" x14ac:dyDescent="0.25">
      <c r="A421" s="9"/>
      <c r="B421" s="38" t="s">
        <v>671</v>
      </c>
      <c r="C421" s="7"/>
      <c r="D421" s="7"/>
      <c r="E421" s="7"/>
      <c r="F421" s="7"/>
      <c r="G421" s="8"/>
      <c r="H421" s="8"/>
      <c r="I421" s="8"/>
      <c r="J421" s="8">
        <v>162335.976</v>
      </c>
      <c r="K421" s="1"/>
      <c r="L421" s="1"/>
      <c r="M421" s="1"/>
      <c r="N421" s="1"/>
      <c r="O421" s="1"/>
    </row>
    <row r="422" spans="1:15" s="6" customFormat="1" ht="12.75" x14ac:dyDescent="0.25">
      <c r="A422" s="9"/>
      <c r="B422" s="38"/>
      <c r="C422" s="7"/>
      <c r="D422" s="7"/>
      <c r="E422" s="7"/>
      <c r="F422" s="7"/>
      <c r="G422" s="8"/>
      <c r="H422" s="98"/>
      <c r="I422" s="98"/>
      <c r="J422" s="98"/>
      <c r="K422" s="1"/>
      <c r="L422" s="1"/>
      <c r="M422" s="1"/>
      <c r="N422" s="1"/>
      <c r="O422" s="1"/>
    </row>
    <row r="423" spans="1:15" s="30" customFormat="1" ht="12.75" x14ac:dyDescent="0.25">
      <c r="A423" s="9"/>
      <c r="B423" s="38"/>
      <c r="C423" s="7"/>
      <c r="D423" s="7"/>
      <c r="E423" s="7"/>
      <c r="F423" s="7"/>
      <c r="G423" s="8"/>
      <c r="H423" s="9"/>
      <c r="I423" s="9"/>
      <c r="J423" s="11">
        <f>J421-J411</f>
        <v>0</v>
      </c>
      <c r="K423" s="11">
        <f>K411-J423</f>
        <v>-1105.5999999999999</v>
      </c>
      <c r="L423" s="1"/>
      <c r="M423" s="1"/>
      <c r="N423" s="1"/>
      <c r="O423" s="11">
        <f>O411-K423</f>
        <v>3672.7128699999989</v>
      </c>
    </row>
    <row r="424" spans="1:15" s="30" customFormat="1" ht="12.75" x14ac:dyDescent="0.25">
      <c r="A424" s="9"/>
      <c r="B424" s="38"/>
      <c r="C424" s="7"/>
      <c r="D424" s="7"/>
      <c r="E424" s="7"/>
      <c r="F424" s="7"/>
      <c r="G424" s="9"/>
      <c r="H424" s="9"/>
      <c r="I424" s="9"/>
      <c r="J424" s="1"/>
      <c r="K424" s="1"/>
      <c r="L424" s="1"/>
      <c r="M424" s="1"/>
      <c r="N424" s="1"/>
      <c r="O424" s="1"/>
    </row>
    <row r="425" spans="1:15" s="30" customFormat="1" ht="12.75" x14ac:dyDescent="0.25">
      <c r="A425" s="9"/>
      <c r="B425" s="38"/>
      <c r="C425" s="7"/>
      <c r="D425" s="7"/>
      <c r="E425" s="7"/>
      <c r="F425" s="7"/>
      <c r="G425" s="8"/>
      <c r="H425" s="9"/>
      <c r="I425" s="9"/>
      <c r="J425" s="1"/>
      <c r="K425" s="1"/>
      <c r="L425" s="1"/>
      <c r="M425" s="1"/>
      <c r="N425" s="1"/>
      <c r="O425" s="1"/>
    </row>
    <row r="426" spans="1:15" s="30" customFormat="1" ht="12.75" x14ac:dyDescent="0.25">
      <c r="A426" s="9"/>
      <c r="B426" s="38"/>
      <c r="C426" s="7"/>
      <c r="D426" s="7"/>
      <c r="E426" s="7"/>
      <c r="F426" s="7"/>
      <c r="G426" s="8"/>
      <c r="H426" s="9"/>
      <c r="I426" s="9"/>
      <c r="J426" s="1"/>
      <c r="K426" s="1"/>
      <c r="L426" s="1"/>
      <c r="M426" s="1"/>
      <c r="N426" s="1"/>
      <c r="O426" s="1"/>
    </row>
    <row r="427" spans="1:15" s="30" customFormat="1" ht="12.75" x14ac:dyDescent="0.25">
      <c r="A427" s="9"/>
      <c r="B427" s="38"/>
      <c r="C427" s="7"/>
      <c r="D427" s="7"/>
      <c r="E427" s="7"/>
      <c r="F427" s="7"/>
      <c r="G427" s="8"/>
      <c r="H427" s="9"/>
      <c r="I427" s="9"/>
      <c r="J427" s="1"/>
      <c r="K427" s="1"/>
      <c r="L427" s="1"/>
      <c r="M427" s="1"/>
      <c r="N427" s="1"/>
      <c r="O427" s="1"/>
    </row>
    <row r="428" spans="1:15" x14ac:dyDescent="0.25">
      <c r="A428" s="99"/>
      <c r="B428" s="100"/>
      <c r="C428" s="17"/>
      <c r="D428" s="17"/>
      <c r="E428" s="17"/>
      <c r="F428" s="18"/>
      <c r="G428" s="19"/>
      <c r="H428" s="99"/>
      <c r="I428" s="99"/>
    </row>
    <row r="429" spans="1:15" x14ac:dyDescent="0.25">
      <c r="A429" s="99"/>
      <c r="B429" s="100"/>
      <c r="C429" s="17"/>
      <c r="D429" s="17"/>
      <c r="E429" s="17"/>
      <c r="F429" s="18"/>
      <c r="G429" s="19"/>
      <c r="H429" s="99"/>
      <c r="I429" s="99"/>
    </row>
    <row r="430" spans="1:15" x14ac:dyDescent="0.25">
      <c r="A430" s="99"/>
      <c r="B430" s="100"/>
      <c r="C430" s="17"/>
      <c r="D430" s="17"/>
      <c r="E430" s="17"/>
      <c r="F430" s="18"/>
      <c r="G430" s="19"/>
      <c r="H430" s="99"/>
      <c r="I430" s="99"/>
    </row>
    <row r="431" spans="1:15" x14ac:dyDescent="0.25">
      <c r="A431" s="99"/>
      <c r="B431" s="100"/>
      <c r="C431" s="17"/>
      <c r="D431" s="17"/>
      <c r="E431" s="17"/>
      <c r="F431" s="18"/>
      <c r="G431" s="19"/>
      <c r="H431" s="99"/>
      <c r="I431" s="99"/>
    </row>
    <row r="432" spans="1:15" x14ac:dyDescent="0.25">
      <c r="A432" s="99"/>
      <c r="B432" s="100"/>
      <c r="C432" s="17"/>
      <c r="D432" s="17"/>
      <c r="E432" s="17"/>
      <c r="F432" s="18"/>
      <c r="G432" s="19"/>
      <c r="H432" s="99"/>
      <c r="I432" s="99"/>
    </row>
    <row r="433" spans="1:10" x14ac:dyDescent="0.25">
      <c r="A433" s="99"/>
      <c r="B433" s="100"/>
      <c r="C433" s="17"/>
      <c r="D433" s="17"/>
      <c r="E433" s="17"/>
      <c r="F433" s="18"/>
      <c r="G433" s="19"/>
      <c r="H433" s="99"/>
      <c r="I433" s="99"/>
    </row>
    <row r="434" spans="1:10" x14ac:dyDescent="0.25">
      <c r="A434" s="99"/>
      <c r="B434" s="100"/>
      <c r="C434" s="17"/>
      <c r="D434" s="17"/>
      <c r="E434" s="17"/>
      <c r="F434" s="18"/>
      <c r="G434" s="19"/>
      <c r="H434" s="99"/>
      <c r="I434" s="99"/>
    </row>
    <row r="435" spans="1:10" x14ac:dyDescent="0.25">
      <c r="A435" s="99"/>
      <c r="B435" s="100"/>
      <c r="C435" s="17"/>
      <c r="D435" s="17"/>
      <c r="E435" s="17"/>
      <c r="F435" s="18"/>
      <c r="G435" s="19"/>
      <c r="H435" s="99"/>
      <c r="I435" s="99"/>
    </row>
    <row r="436" spans="1:10" s="30" customFormat="1" x14ac:dyDescent="0.25">
      <c r="A436" s="24"/>
      <c r="B436" s="25"/>
      <c r="C436" s="26"/>
      <c r="D436" s="26"/>
      <c r="E436" s="26"/>
      <c r="F436" s="27"/>
      <c r="G436" s="28"/>
      <c r="H436" s="28"/>
      <c r="I436" s="28"/>
      <c r="J436" s="28"/>
    </row>
    <row r="437" spans="1:10" x14ac:dyDescent="0.25">
      <c r="A437" s="99"/>
      <c r="B437" s="100"/>
      <c r="C437" s="17"/>
      <c r="D437" s="17"/>
      <c r="E437" s="17"/>
      <c r="F437" s="18"/>
      <c r="G437" s="19"/>
      <c r="H437" s="99"/>
      <c r="I437" s="99"/>
      <c r="J437" s="101"/>
    </row>
    <row r="438" spans="1:10" x14ac:dyDescent="0.25">
      <c r="A438" s="99"/>
      <c r="B438" s="100"/>
      <c r="C438" s="17"/>
      <c r="D438" s="17"/>
      <c r="E438" s="17"/>
      <c r="F438" s="18"/>
      <c r="G438" s="19"/>
      <c r="H438" s="99"/>
      <c r="I438" s="99"/>
      <c r="J438" s="101"/>
    </row>
    <row r="439" spans="1:10" s="30" customFormat="1" x14ac:dyDescent="0.25">
      <c r="A439" s="24"/>
      <c r="B439" s="25"/>
      <c r="C439" s="26"/>
      <c r="D439" s="26"/>
      <c r="E439" s="26"/>
      <c r="F439" s="27"/>
      <c r="G439" s="28"/>
      <c r="H439" s="24"/>
      <c r="I439" s="24"/>
      <c r="J439" s="29"/>
    </row>
    <row r="440" spans="1:10" s="6" customFormat="1" ht="15" x14ac:dyDescent="0.25">
      <c r="A440" s="39"/>
      <c r="B440" s="16"/>
      <c r="C440" s="21"/>
      <c r="D440" s="21"/>
      <c r="E440" s="21"/>
      <c r="F440" s="22"/>
      <c r="G440" s="23"/>
      <c r="H440" s="23"/>
      <c r="I440" s="23"/>
      <c r="J440" s="23"/>
    </row>
    <row r="441" spans="1:10" x14ac:dyDescent="0.25">
      <c r="A441" s="99"/>
      <c r="B441" s="100"/>
      <c r="C441" s="17"/>
      <c r="D441" s="17"/>
      <c r="E441" s="17"/>
      <c r="F441" s="18"/>
      <c r="G441" s="20"/>
      <c r="H441" s="99"/>
      <c r="I441" s="99"/>
    </row>
    <row r="442" spans="1:10" x14ac:dyDescent="0.25">
      <c r="A442" s="99"/>
      <c r="B442" s="100"/>
      <c r="C442" s="17"/>
      <c r="D442" s="17"/>
      <c r="E442" s="17"/>
      <c r="F442" s="18"/>
      <c r="G442" s="20"/>
      <c r="H442" s="99"/>
      <c r="I442" s="99"/>
    </row>
    <row r="443" spans="1:10" x14ac:dyDescent="0.25">
      <c r="A443" s="99"/>
      <c r="B443" s="100"/>
      <c r="C443" s="17"/>
      <c r="D443" s="17"/>
      <c r="E443" s="17"/>
      <c r="F443" s="18"/>
      <c r="G443" s="19"/>
      <c r="H443" s="99"/>
      <c r="I443" s="99"/>
    </row>
    <row r="444" spans="1:10" x14ac:dyDescent="0.25">
      <c r="A444" s="99"/>
      <c r="B444" s="100"/>
      <c r="C444" s="17"/>
      <c r="D444" s="17"/>
      <c r="E444" s="17"/>
      <c r="F444" s="18"/>
      <c r="G444" s="20"/>
      <c r="H444" s="99"/>
      <c r="I444" s="99"/>
    </row>
    <row r="445" spans="1:10" x14ac:dyDescent="0.25">
      <c r="A445" s="99"/>
      <c r="B445" s="100"/>
      <c r="C445" s="17"/>
      <c r="D445" s="17"/>
      <c r="E445" s="17"/>
      <c r="F445" s="18"/>
      <c r="G445" s="20"/>
      <c r="H445" s="99"/>
      <c r="I445" s="99"/>
    </row>
    <row r="446" spans="1:10" x14ac:dyDescent="0.25">
      <c r="A446" s="99"/>
      <c r="B446" s="100"/>
      <c r="C446" s="17"/>
      <c r="D446" s="17"/>
      <c r="E446" s="17"/>
      <c r="F446" s="18"/>
      <c r="G446" s="20"/>
      <c r="H446" s="99"/>
      <c r="I446" s="99"/>
    </row>
    <row r="447" spans="1:10" x14ac:dyDescent="0.25">
      <c r="A447" s="99"/>
      <c r="B447" s="100"/>
      <c r="C447" s="17"/>
      <c r="D447" s="17"/>
      <c r="E447" s="17"/>
      <c r="F447" s="18"/>
      <c r="G447" s="20"/>
      <c r="H447" s="99"/>
      <c r="I447" s="99"/>
    </row>
    <row r="448" spans="1:10" x14ac:dyDescent="0.25">
      <c r="A448" s="99"/>
      <c r="B448" s="100"/>
      <c r="C448" s="17"/>
      <c r="D448" s="17"/>
      <c r="E448" s="17"/>
      <c r="F448" s="18"/>
      <c r="G448" s="20"/>
      <c r="H448" s="99"/>
      <c r="I448" s="99"/>
    </row>
    <row r="449" spans="1:9" x14ac:dyDescent="0.25">
      <c r="A449" s="99"/>
      <c r="B449" s="100"/>
      <c r="C449" s="17"/>
      <c r="D449" s="17"/>
      <c r="E449" s="17"/>
      <c r="F449" s="18"/>
      <c r="G449" s="20"/>
      <c r="H449" s="99"/>
      <c r="I449" s="99"/>
    </row>
    <row r="450" spans="1:9" x14ac:dyDescent="0.25">
      <c r="A450" s="99"/>
      <c r="B450" s="100"/>
      <c r="C450" s="17"/>
      <c r="D450" s="17"/>
      <c r="E450" s="17"/>
      <c r="F450" s="18"/>
      <c r="G450" s="20"/>
      <c r="H450" s="99"/>
      <c r="I450" s="99"/>
    </row>
    <row r="451" spans="1:9" x14ac:dyDescent="0.25">
      <c r="A451" s="99"/>
      <c r="B451" s="100"/>
      <c r="C451" s="17"/>
      <c r="D451" s="17"/>
      <c r="E451" s="17"/>
      <c r="F451" s="18"/>
      <c r="G451" s="20"/>
      <c r="H451" s="99"/>
      <c r="I451" s="99"/>
    </row>
    <row r="452" spans="1:9" x14ac:dyDescent="0.25">
      <c r="A452" s="99"/>
      <c r="B452" s="100"/>
      <c r="C452" s="17"/>
      <c r="D452" s="17"/>
      <c r="E452" s="17"/>
      <c r="F452" s="18"/>
      <c r="G452" s="20"/>
      <c r="H452" s="99"/>
      <c r="I452" s="99"/>
    </row>
    <row r="453" spans="1:9" x14ac:dyDescent="0.25">
      <c r="A453" s="99"/>
      <c r="B453" s="100"/>
      <c r="C453" s="17"/>
      <c r="D453" s="17"/>
      <c r="E453" s="17"/>
      <c r="F453" s="18"/>
      <c r="G453" s="20"/>
      <c r="H453" s="99"/>
      <c r="I453" s="99"/>
    </row>
    <row r="454" spans="1:9" x14ac:dyDescent="0.25">
      <c r="A454" s="99"/>
      <c r="B454" s="100"/>
      <c r="C454" s="17"/>
      <c r="D454" s="17"/>
      <c r="E454" s="17"/>
      <c r="F454" s="18"/>
      <c r="G454" s="20"/>
      <c r="H454" s="99"/>
      <c r="I454" s="99"/>
    </row>
    <row r="455" spans="1:9" x14ac:dyDescent="0.25">
      <c r="A455" s="99"/>
      <c r="B455" s="100"/>
      <c r="C455" s="17"/>
      <c r="D455" s="17"/>
      <c r="E455" s="17"/>
      <c r="F455" s="18"/>
      <c r="G455" s="20"/>
      <c r="H455" s="99"/>
      <c r="I455" s="99"/>
    </row>
  </sheetData>
  <mergeCells count="270">
    <mergeCell ref="A407:B407"/>
    <mergeCell ref="A408:B408"/>
    <mergeCell ref="A409:B409"/>
    <mergeCell ref="A356:B356"/>
    <mergeCell ref="A357:B357"/>
    <mergeCell ref="A143:B143"/>
    <mergeCell ref="A144:B144"/>
    <mergeCell ref="A329:B329"/>
    <mergeCell ref="A1:J1"/>
    <mergeCell ref="A399:B399"/>
    <mergeCell ref="A400:B400"/>
    <mergeCell ref="A402:B402"/>
    <mergeCell ref="A403:B403"/>
    <mergeCell ref="A404:B404"/>
    <mergeCell ref="A406:B406"/>
    <mergeCell ref="A391:B391"/>
    <mergeCell ref="A392:B392"/>
    <mergeCell ref="A394:B394"/>
    <mergeCell ref="A396:B396"/>
    <mergeCell ref="A397:B397"/>
    <mergeCell ref="A398:B398"/>
    <mergeCell ref="A383:B383"/>
    <mergeCell ref="A385:B385"/>
    <mergeCell ref="A386:B386"/>
    <mergeCell ref="A388:B388"/>
    <mergeCell ref="A389:B389"/>
    <mergeCell ref="A390:B390"/>
    <mergeCell ref="A374:B374"/>
    <mergeCell ref="A376:B376"/>
    <mergeCell ref="A378:B378"/>
    <mergeCell ref="A379:B379"/>
    <mergeCell ref="A380:B380"/>
    <mergeCell ref="A381:B381"/>
    <mergeCell ref="A366:B366"/>
    <mergeCell ref="A367:B367"/>
    <mergeCell ref="A368:B368"/>
    <mergeCell ref="A370:B370"/>
    <mergeCell ref="A371:B371"/>
    <mergeCell ref="A373:B373"/>
    <mergeCell ref="A355:B355"/>
    <mergeCell ref="A359:B359"/>
    <mergeCell ref="A361:B361"/>
    <mergeCell ref="A362:B362"/>
    <mergeCell ref="A363:B363"/>
    <mergeCell ref="A365:B365"/>
    <mergeCell ref="A346:B346"/>
    <mergeCell ref="A348:B348"/>
    <mergeCell ref="A349:B349"/>
    <mergeCell ref="A351:B351"/>
    <mergeCell ref="A352:B352"/>
    <mergeCell ref="A353:B353"/>
    <mergeCell ref="A337:B337"/>
    <mergeCell ref="A339:B339"/>
    <mergeCell ref="A340:B340"/>
    <mergeCell ref="A341:B341"/>
    <mergeCell ref="A343:B343"/>
    <mergeCell ref="A344:B344"/>
    <mergeCell ref="A325:B325"/>
    <mergeCell ref="A328:B328"/>
    <mergeCell ref="A331:B331"/>
    <mergeCell ref="A334:B334"/>
    <mergeCell ref="A335:B335"/>
    <mergeCell ref="A336:B336"/>
    <mergeCell ref="A318:B318"/>
    <mergeCell ref="A319:B319"/>
    <mergeCell ref="A320:B320"/>
    <mergeCell ref="A321:B321"/>
    <mergeCell ref="A323:B323"/>
    <mergeCell ref="A324:B324"/>
    <mergeCell ref="A309:B309"/>
    <mergeCell ref="A310:B310"/>
    <mergeCell ref="A311:B311"/>
    <mergeCell ref="A313:B313"/>
    <mergeCell ref="A314:B314"/>
    <mergeCell ref="A316:B316"/>
    <mergeCell ref="A298:B298"/>
    <mergeCell ref="A299:B299"/>
    <mergeCell ref="A301:B301"/>
    <mergeCell ref="A303:B303"/>
    <mergeCell ref="A305:B305"/>
    <mergeCell ref="A307:B307"/>
    <mergeCell ref="A288:B288"/>
    <mergeCell ref="A289:B289"/>
    <mergeCell ref="A291:B291"/>
    <mergeCell ref="A293:B293"/>
    <mergeCell ref="A295:B295"/>
    <mergeCell ref="A297:B297"/>
    <mergeCell ref="A279:B279"/>
    <mergeCell ref="A281:B281"/>
    <mergeCell ref="A283:B283"/>
    <mergeCell ref="A285:B285"/>
    <mergeCell ref="A286:B286"/>
    <mergeCell ref="A287:B287"/>
    <mergeCell ref="A269:B269"/>
    <mergeCell ref="A271:B271"/>
    <mergeCell ref="A272:B272"/>
    <mergeCell ref="A274:B274"/>
    <mergeCell ref="A276:B276"/>
    <mergeCell ref="A277:B277"/>
    <mergeCell ref="A260:B260"/>
    <mergeCell ref="A261:B261"/>
    <mergeCell ref="A263:B263"/>
    <mergeCell ref="A265:B265"/>
    <mergeCell ref="A267:B267"/>
    <mergeCell ref="A268:B268"/>
    <mergeCell ref="A251:B251"/>
    <mergeCell ref="A253:B253"/>
    <mergeCell ref="A254:B254"/>
    <mergeCell ref="A255:B255"/>
    <mergeCell ref="A257:B257"/>
    <mergeCell ref="A259:B259"/>
    <mergeCell ref="A243:B243"/>
    <mergeCell ref="A245:B245"/>
    <mergeCell ref="A246:B246"/>
    <mergeCell ref="A247:B247"/>
    <mergeCell ref="A248:B248"/>
    <mergeCell ref="A250:B250"/>
    <mergeCell ref="A235:B235"/>
    <mergeCell ref="A237:B237"/>
    <mergeCell ref="A238:B238"/>
    <mergeCell ref="A239:B239"/>
    <mergeCell ref="A241:B241"/>
    <mergeCell ref="A242:B242"/>
    <mergeCell ref="A226:B226"/>
    <mergeCell ref="A227:B227"/>
    <mergeCell ref="A229:B229"/>
    <mergeCell ref="A230:B230"/>
    <mergeCell ref="A231:B231"/>
    <mergeCell ref="A233:B233"/>
    <mergeCell ref="A215:B215"/>
    <mergeCell ref="A216:B216"/>
    <mergeCell ref="A218:B218"/>
    <mergeCell ref="A220:B220"/>
    <mergeCell ref="A222:B222"/>
    <mergeCell ref="A224:B224"/>
    <mergeCell ref="A204:B204"/>
    <mergeCell ref="A206:B206"/>
    <mergeCell ref="A208:B208"/>
    <mergeCell ref="A210:B210"/>
    <mergeCell ref="A212:B212"/>
    <mergeCell ref="A214:B214"/>
    <mergeCell ref="A194:B194"/>
    <mergeCell ref="A196:B196"/>
    <mergeCell ref="A198:B198"/>
    <mergeCell ref="A200:B200"/>
    <mergeCell ref="A201:B201"/>
    <mergeCell ref="A202:B202"/>
    <mergeCell ref="A182:B182"/>
    <mergeCell ref="A184:B184"/>
    <mergeCell ref="A186:B186"/>
    <mergeCell ref="A188:B188"/>
    <mergeCell ref="A190:B190"/>
    <mergeCell ref="A192:B192"/>
    <mergeCell ref="A170:B170"/>
    <mergeCell ref="A172:B172"/>
    <mergeCell ref="A174:B174"/>
    <mergeCell ref="A176:B176"/>
    <mergeCell ref="A178:B178"/>
    <mergeCell ref="A180:B180"/>
    <mergeCell ref="A158:B158"/>
    <mergeCell ref="A160:B160"/>
    <mergeCell ref="A162:B162"/>
    <mergeCell ref="A164:B164"/>
    <mergeCell ref="A166:B166"/>
    <mergeCell ref="A168:B168"/>
    <mergeCell ref="A151:B151"/>
    <mergeCell ref="A152:B152"/>
    <mergeCell ref="A153:B153"/>
    <mergeCell ref="A154:B154"/>
    <mergeCell ref="A156:B156"/>
    <mergeCell ref="A157:B157"/>
    <mergeCell ref="A138:B138"/>
    <mergeCell ref="A140:B140"/>
    <mergeCell ref="A142:B142"/>
    <mergeCell ref="A146:B146"/>
    <mergeCell ref="A147:B147"/>
    <mergeCell ref="A149:B149"/>
    <mergeCell ref="A128:B128"/>
    <mergeCell ref="A129:B129"/>
    <mergeCell ref="A130:B130"/>
    <mergeCell ref="A132:B132"/>
    <mergeCell ref="A134:B134"/>
    <mergeCell ref="A136:B136"/>
    <mergeCell ref="A119:B119"/>
    <mergeCell ref="A120:B120"/>
    <mergeCell ref="A123:B123"/>
    <mergeCell ref="A124:B124"/>
    <mergeCell ref="A125:B125"/>
    <mergeCell ref="A126:B126"/>
    <mergeCell ref="A112:B112"/>
    <mergeCell ref="A113:B113"/>
    <mergeCell ref="A114:B114"/>
    <mergeCell ref="A115:B115"/>
    <mergeCell ref="A117:B117"/>
    <mergeCell ref="A118:B118"/>
    <mergeCell ref="A102:B102"/>
    <mergeCell ref="A104:B104"/>
    <mergeCell ref="A105:B105"/>
    <mergeCell ref="A107:B107"/>
    <mergeCell ref="A109:B109"/>
    <mergeCell ref="A110:B110"/>
    <mergeCell ref="A93:B93"/>
    <mergeCell ref="A95:B95"/>
    <mergeCell ref="A96:B96"/>
    <mergeCell ref="A98:B98"/>
    <mergeCell ref="A100:B100"/>
    <mergeCell ref="A101:B101"/>
    <mergeCell ref="A84:B84"/>
    <mergeCell ref="A85:B85"/>
    <mergeCell ref="A87:B87"/>
    <mergeCell ref="A89:B89"/>
    <mergeCell ref="A90:B90"/>
    <mergeCell ref="A91:B91"/>
    <mergeCell ref="A76:B76"/>
    <mergeCell ref="A77:B77"/>
    <mergeCell ref="A79:B79"/>
    <mergeCell ref="A81:B81"/>
    <mergeCell ref="A82:B82"/>
    <mergeCell ref="A83:B83"/>
    <mergeCell ref="A68:B68"/>
    <mergeCell ref="A69:B69"/>
    <mergeCell ref="A71:B71"/>
    <mergeCell ref="A72:B72"/>
    <mergeCell ref="A73:B73"/>
    <mergeCell ref="A75:B75"/>
    <mergeCell ref="A60:B60"/>
    <mergeCell ref="A61:B61"/>
    <mergeCell ref="A62:B62"/>
    <mergeCell ref="A63:B63"/>
    <mergeCell ref="A66:B66"/>
    <mergeCell ref="A67:B67"/>
    <mergeCell ref="A49:B49"/>
    <mergeCell ref="A50:B50"/>
    <mergeCell ref="A51:B51"/>
    <mergeCell ref="A53:B53"/>
    <mergeCell ref="A56:B56"/>
    <mergeCell ref="A59:B59"/>
    <mergeCell ref="A40:B40"/>
    <mergeCell ref="A42:B42"/>
    <mergeCell ref="A43:B43"/>
    <mergeCell ref="A44:B44"/>
    <mergeCell ref="A46:B46"/>
    <mergeCell ref="A47:B47"/>
    <mergeCell ref="A31:B31"/>
    <mergeCell ref="A32:B32"/>
    <mergeCell ref="A34:B34"/>
    <mergeCell ref="A36:B36"/>
    <mergeCell ref="A37:B37"/>
    <mergeCell ref="A38:B38"/>
    <mergeCell ref="A21:B21"/>
    <mergeCell ref="A23:B23"/>
    <mergeCell ref="A25:B25"/>
    <mergeCell ref="A27:B27"/>
    <mergeCell ref="A29:B29"/>
    <mergeCell ref="A30:B30"/>
    <mergeCell ref="A12:B12"/>
    <mergeCell ref="A14:B14"/>
    <mergeCell ref="A16:B16"/>
    <mergeCell ref="A18:B18"/>
    <mergeCell ref="A19:B19"/>
    <mergeCell ref="A20:B20"/>
    <mergeCell ref="A5:B5"/>
    <mergeCell ref="A6:B6"/>
    <mergeCell ref="A7:B7"/>
    <mergeCell ref="A9:B9"/>
    <mergeCell ref="A10:B10"/>
    <mergeCell ref="A11:B11"/>
    <mergeCell ref="A2:G2"/>
    <mergeCell ref="A3:B3"/>
    <mergeCell ref="A4:B4"/>
  </mergeCells>
  <pageMargins left="0.70866141732283472" right="0.11811023622047245" top="0.19685039370078741" bottom="0.19685039370078741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3"/>
  <sheetViews>
    <sheetView topLeftCell="A414" workbookViewId="0">
      <selection activeCell="A430" sqref="A430"/>
    </sheetView>
  </sheetViews>
  <sheetFormatPr defaultRowHeight="15" x14ac:dyDescent="0.25"/>
  <cols>
    <col min="1" max="1" width="1.7109375" style="103" customWidth="1"/>
    <col min="2" max="2" width="65" style="103" customWidth="1"/>
    <col min="3" max="3" width="5.28515625" style="104" customWidth="1"/>
    <col min="4" max="4" width="5" style="103" customWidth="1"/>
    <col min="5" max="5" width="4.42578125" style="103" customWidth="1"/>
    <col min="6" max="6" width="12.28515625" style="103" customWidth="1"/>
    <col min="7" max="7" width="5.7109375" style="103" customWidth="1"/>
    <col min="8" max="8" width="13.140625" style="103" hidden="1" customWidth="1"/>
    <col min="9" max="9" width="14" style="103" hidden="1" customWidth="1"/>
    <col min="10" max="10" width="12.85546875" style="103" customWidth="1"/>
    <col min="11" max="256" width="9.140625" style="103"/>
    <col min="257" max="257" width="1.7109375" style="103" customWidth="1"/>
    <col min="258" max="258" width="62.140625" style="103" customWidth="1"/>
    <col min="259" max="259" width="5.7109375" style="103" customWidth="1"/>
    <col min="260" max="261" width="5.28515625" style="103" customWidth="1"/>
    <col min="262" max="262" width="12.28515625" style="103" customWidth="1"/>
    <col min="263" max="263" width="5.7109375" style="103" customWidth="1"/>
    <col min="264" max="264" width="13.140625" style="103" customWidth="1"/>
    <col min="265" max="265" width="14" style="103" customWidth="1"/>
    <col min="266" max="266" width="12" style="103" customWidth="1"/>
    <col min="267" max="512" width="9.140625" style="103"/>
    <col min="513" max="513" width="1.7109375" style="103" customWidth="1"/>
    <col min="514" max="514" width="62.140625" style="103" customWidth="1"/>
    <col min="515" max="515" width="5.7109375" style="103" customWidth="1"/>
    <col min="516" max="517" width="5.28515625" style="103" customWidth="1"/>
    <col min="518" max="518" width="12.28515625" style="103" customWidth="1"/>
    <col min="519" max="519" width="5.7109375" style="103" customWidth="1"/>
    <col min="520" max="520" width="13.140625" style="103" customWidth="1"/>
    <col min="521" max="521" width="14" style="103" customWidth="1"/>
    <col min="522" max="522" width="12" style="103" customWidth="1"/>
    <col min="523" max="768" width="9.140625" style="103"/>
    <col min="769" max="769" width="1.7109375" style="103" customWidth="1"/>
    <col min="770" max="770" width="62.140625" style="103" customWidth="1"/>
    <col min="771" max="771" width="5.7109375" style="103" customWidth="1"/>
    <col min="772" max="773" width="5.28515625" style="103" customWidth="1"/>
    <col min="774" max="774" width="12.28515625" style="103" customWidth="1"/>
    <col min="775" max="775" width="5.7109375" style="103" customWidth="1"/>
    <col min="776" max="776" width="13.140625" style="103" customWidth="1"/>
    <col min="777" max="777" width="14" style="103" customWidth="1"/>
    <col min="778" max="778" width="12" style="103" customWidth="1"/>
    <col min="779" max="1024" width="9.140625" style="103"/>
    <col min="1025" max="1025" width="1.7109375" style="103" customWidth="1"/>
    <col min="1026" max="1026" width="62.140625" style="103" customWidth="1"/>
    <col min="1027" max="1027" width="5.7109375" style="103" customWidth="1"/>
    <col min="1028" max="1029" width="5.28515625" style="103" customWidth="1"/>
    <col min="1030" max="1030" width="12.28515625" style="103" customWidth="1"/>
    <col min="1031" max="1031" width="5.7109375" style="103" customWidth="1"/>
    <col min="1032" max="1032" width="13.140625" style="103" customWidth="1"/>
    <col min="1033" max="1033" width="14" style="103" customWidth="1"/>
    <col min="1034" max="1034" width="12" style="103" customWidth="1"/>
    <col min="1035" max="1280" width="9.140625" style="103"/>
    <col min="1281" max="1281" width="1.7109375" style="103" customWidth="1"/>
    <col min="1282" max="1282" width="62.140625" style="103" customWidth="1"/>
    <col min="1283" max="1283" width="5.7109375" style="103" customWidth="1"/>
    <col min="1284" max="1285" width="5.28515625" style="103" customWidth="1"/>
    <col min="1286" max="1286" width="12.28515625" style="103" customWidth="1"/>
    <col min="1287" max="1287" width="5.7109375" style="103" customWidth="1"/>
    <col min="1288" max="1288" width="13.140625" style="103" customWidth="1"/>
    <col min="1289" max="1289" width="14" style="103" customWidth="1"/>
    <col min="1290" max="1290" width="12" style="103" customWidth="1"/>
    <col min="1291" max="1536" width="9.140625" style="103"/>
    <col min="1537" max="1537" width="1.7109375" style="103" customWidth="1"/>
    <col min="1538" max="1538" width="62.140625" style="103" customWidth="1"/>
    <col min="1539" max="1539" width="5.7109375" style="103" customWidth="1"/>
    <col min="1540" max="1541" width="5.28515625" style="103" customWidth="1"/>
    <col min="1542" max="1542" width="12.28515625" style="103" customWidth="1"/>
    <col min="1543" max="1543" width="5.7109375" style="103" customWidth="1"/>
    <col min="1544" max="1544" width="13.140625" style="103" customWidth="1"/>
    <col min="1545" max="1545" width="14" style="103" customWidth="1"/>
    <col min="1546" max="1546" width="12" style="103" customWidth="1"/>
    <col min="1547" max="1792" width="9.140625" style="103"/>
    <col min="1793" max="1793" width="1.7109375" style="103" customWidth="1"/>
    <col min="1794" max="1794" width="62.140625" style="103" customWidth="1"/>
    <col min="1795" max="1795" width="5.7109375" style="103" customWidth="1"/>
    <col min="1796" max="1797" width="5.28515625" style="103" customWidth="1"/>
    <col min="1798" max="1798" width="12.28515625" style="103" customWidth="1"/>
    <col min="1799" max="1799" width="5.7109375" style="103" customWidth="1"/>
    <col min="1800" max="1800" width="13.140625" style="103" customWidth="1"/>
    <col min="1801" max="1801" width="14" style="103" customWidth="1"/>
    <col min="1802" max="1802" width="12" style="103" customWidth="1"/>
    <col min="1803" max="2048" width="9.140625" style="103"/>
    <col min="2049" max="2049" width="1.7109375" style="103" customWidth="1"/>
    <col min="2050" max="2050" width="62.140625" style="103" customWidth="1"/>
    <col min="2051" max="2051" width="5.7109375" style="103" customWidth="1"/>
    <col min="2052" max="2053" width="5.28515625" style="103" customWidth="1"/>
    <col min="2054" max="2054" width="12.28515625" style="103" customWidth="1"/>
    <col min="2055" max="2055" width="5.7109375" style="103" customWidth="1"/>
    <col min="2056" max="2056" width="13.140625" style="103" customWidth="1"/>
    <col min="2057" max="2057" width="14" style="103" customWidth="1"/>
    <col min="2058" max="2058" width="12" style="103" customWidth="1"/>
    <col min="2059" max="2304" width="9.140625" style="103"/>
    <col min="2305" max="2305" width="1.7109375" style="103" customWidth="1"/>
    <col min="2306" max="2306" width="62.140625" style="103" customWidth="1"/>
    <col min="2307" max="2307" width="5.7109375" style="103" customWidth="1"/>
    <col min="2308" max="2309" width="5.28515625" style="103" customWidth="1"/>
    <col min="2310" max="2310" width="12.28515625" style="103" customWidth="1"/>
    <col min="2311" max="2311" width="5.7109375" style="103" customWidth="1"/>
    <col min="2312" max="2312" width="13.140625" style="103" customWidth="1"/>
    <col min="2313" max="2313" width="14" style="103" customWidth="1"/>
    <col min="2314" max="2314" width="12" style="103" customWidth="1"/>
    <col min="2315" max="2560" width="9.140625" style="103"/>
    <col min="2561" max="2561" width="1.7109375" style="103" customWidth="1"/>
    <col min="2562" max="2562" width="62.140625" style="103" customWidth="1"/>
    <col min="2563" max="2563" width="5.7109375" style="103" customWidth="1"/>
    <col min="2564" max="2565" width="5.28515625" style="103" customWidth="1"/>
    <col min="2566" max="2566" width="12.28515625" style="103" customWidth="1"/>
    <col min="2567" max="2567" width="5.7109375" style="103" customWidth="1"/>
    <col min="2568" max="2568" width="13.140625" style="103" customWidth="1"/>
    <col min="2569" max="2569" width="14" style="103" customWidth="1"/>
    <col min="2570" max="2570" width="12" style="103" customWidth="1"/>
    <col min="2571" max="2816" width="9.140625" style="103"/>
    <col min="2817" max="2817" width="1.7109375" style="103" customWidth="1"/>
    <col min="2818" max="2818" width="62.140625" style="103" customWidth="1"/>
    <col min="2819" max="2819" width="5.7109375" style="103" customWidth="1"/>
    <col min="2820" max="2821" width="5.28515625" style="103" customWidth="1"/>
    <col min="2822" max="2822" width="12.28515625" style="103" customWidth="1"/>
    <col min="2823" max="2823" width="5.7109375" style="103" customWidth="1"/>
    <col min="2824" max="2824" width="13.140625" style="103" customWidth="1"/>
    <col min="2825" max="2825" width="14" style="103" customWidth="1"/>
    <col min="2826" max="2826" width="12" style="103" customWidth="1"/>
    <col min="2827" max="3072" width="9.140625" style="103"/>
    <col min="3073" max="3073" width="1.7109375" style="103" customWidth="1"/>
    <col min="3074" max="3074" width="62.140625" style="103" customWidth="1"/>
    <col min="3075" max="3075" width="5.7109375" style="103" customWidth="1"/>
    <col min="3076" max="3077" width="5.28515625" style="103" customWidth="1"/>
    <col min="3078" max="3078" width="12.28515625" style="103" customWidth="1"/>
    <col min="3079" max="3079" width="5.7109375" style="103" customWidth="1"/>
    <col min="3080" max="3080" width="13.140625" style="103" customWidth="1"/>
    <col min="3081" max="3081" width="14" style="103" customWidth="1"/>
    <col min="3082" max="3082" width="12" style="103" customWidth="1"/>
    <col min="3083" max="3328" width="9.140625" style="103"/>
    <col min="3329" max="3329" width="1.7109375" style="103" customWidth="1"/>
    <col min="3330" max="3330" width="62.140625" style="103" customWidth="1"/>
    <col min="3331" max="3331" width="5.7109375" style="103" customWidth="1"/>
    <col min="3332" max="3333" width="5.28515625" style="103" customWidth="1"/>
    <col min="3334" max="3334" width="12.28515625" style="103" customWidth="1"/>
    <col min="3335" max="3335" width="5.7109375" style="103" customWidth="1"/>
    <col min="3336" max="3336" width="13.140625" style="103" customWidth="1"/>
    <col min="3337" max="3337" width="14" style="103" customWidth="1"/>
    <col min="3338" max="3338" width="12" style="103" customWidth="1"/>
    <col min="3339" max="3584" width="9.140625" style="103"/>
    <col min="3585" max="3585" width="1.7109375" style="103" customWidth="1"/>
    <col min="3586" max="3586" width="62.140625" style="103" customWidth="1"/>
    <col min="3587" max="3587" width="5.7109375" style="103" customWidth="1"/>
    <col min="3588" max="3589" width="5.28515625" style="103" customWidth="1"/>
    <col min="3590" max="3590" width="12.28515625" style="103" customWidth="1"/>
    <col min="3591" max="3591" width="5.7109375" style="103" customWidth="1"/>
    <col min="3592" max="3592" width="13.140625" style="103" customWidth="1"/>
    <col min="3593" max="3593" width="14" style="103" customWidth="1"/>
    <col min="3594" max="3594" width="12" style="103" customWidth="1"/>
    <col min="3595" max="3840" width="9.140625" style="103"/>
    <col min="3841" max="3841" width="1.7109375" style="103" customWidth="1"/>
    <col min="3842" max="3842" width="62.140625" style="103" customWidth="1"/>
    <col min="3843" max="3843" width="5.7109375" style="103" customWidth="1"/>
    <col min="3844" max="3845" width="5.28515625" style="103" customWidth="1"/>
    <col min="3846" max="3846" width="12.28515625" style="103" customWidth="1"/>
    <col min="3847" max="3847" width="5.7109375" style="103" customWidth="1"/>
    <col min="3848" max="3848" width="13.140625" style="103" customWidth="1"/>
    <col min="3849" max="3849" width="14" style="103" customWidth="1"/>
    <col min="3850" max="3850" width="12" style="103" customWidth="1"/>
    <col min="3851" max="4096" width="9.140625" style="103"/>
    <col min="4097" max="4097" width="1.7109375" style="103" customWidth="1"/>
    <col min="4098" max="4098" width="62.140625" style="103" customWidth="1"/>
    <col min="4099" max="4099" width="5.7109375" style="103" customWidth="1"/>
    <col min="4100" max="4101" width="5.28515625" style="103" customWidth="1"/>
    <col min="4102" max="4102" width="12.28515625" style="103" customWidth="1"/>
    <col min="4103" max="4103" width="5.7109375" style="103" customWidth="1"/>
    <col min="4104" max="4104" width="13.140625" style="103" customWidth="1"/>
    <col min="4105" max="4105" width="14" style="103" customWidth="1"/>
    <col min="4106" max="4106" width="12" style="103" customWidth="1"/>
    <col min="4107" max="4352" width="9.140625" style="103"/>
    <col min="4353" max="4353" width="1.7109375" style="103" customWidth="1"/>
    <col min="4354" max="4354" width="62.140625" style="103" customWidth="1"/>
    <col min="4355" max="4355" width="5.7109375" style="103" customWidth="1"/>
    <col min="4356" max="4357" width="5.28515625" style="103" customWidth="1"/>
    <col min="4358" max="4358" width="12.28515625" style="103" customWidth="1"/>
    <col min="4359" max="4359" width="5.7109375" style="103" customWidth="1"/>
    <col min="4360" max="4360" width="13.140625" style="103" customWidth="1"/>
    <col min="4361" max="4361" width="14" style="103" customWidth="1"/>
    <col min="4362" max="4362" width="12" style="103" customWidth="1"/>
    <col min="4363" max="4608" width="9.140625" style="103"/>
    <col min="4609" max="4609" width="1.7109375" style="103" customWidth="1"/>
    <col min="4610" max="4610" width="62.140625" style="103" customWidth="1"/>
    <col min="4611" max="4611" width="5.7109375" style="103" customWidth="1"/>
    <col min="4612" max="4613" width="5.28515625" style="103" customWidth="1"/>
    <col min="4614" max="4614" width="12.28515625" style="103" customWidth="1"/>
    <col min="4615" max="4615" width="5.7109375" style="103" customWidth="1"/>
    <col min="4616" max="4616" width="13.140625" style="103" customWidth="1"/>
    <col min="4617" max="4617" width="14" style="103" customWidth="1"/>
    <col min="4618" max="4618" width="12" style="103" customWidth="1"/>
    <col min="4619" max="4864" width="9.140625" style="103"/>
    <col min="4865" max="4865" width="1.7109375" style="103" customWidth="1"/>
    <col min="4866" max="4866" width="62.140625" style="103" customWidth="1"/>
    <col min="4867" max="4867" width="5.7109375" style="103" customWidth="1"/>
    <col min="4868" max="4869" width="5.28515625" style="103" customWidth="1"/>
    <col min="4870" max="4870" width="12.28515625" style="103" customWidth="1"/>
    <col min="4871" max="4871" width="5.7109375" style="103" customWidth="1"/>
    <col min="4872" max="4872" width="13.140625" style="103" customWidth="1"/>
    <col min="4873" max="4873" width="14" style="103" customWidth="1"/>
    <col min="4874" max="4874" width="12" style="103" customWidth="1"/>
    <col min="4875" max="5120" width="9.140625" style="103"/>
    <col min="5121" max="5121" width="1.7109375" style="103" customWidth="1"/>
    <col min="5122" max="5122" width="62.140625" style="103" customWidth="1"/>
    <col min="5123" max="5123" width="5.7109375" style="103" customWidth="1"/>
    <col min="5124" max="5125" width="5.28515625" style="103" customWidth="1"/>
    <col min="5126" max="5126" width="12.28515625" style="103" customWidth="1"/>
    <col min="5127" max="5127" width="5.7109375" style="103" customWidth="1"/>
    <col min="5128" max="5128" width="13.140625" style="103" customWidth="1"/>
    <col min="5129" max="5129" width="14" style="103" customWidth="1"/>
    <col min="5130" max="5130" width="12" style="103" customWidth="1"/>
    <col min="5131" max="5376" width="9.140625" style="103"/>
    <col min="5377" max="5377" width="1.7109375" style="103" customWidth="1"/>
    <col min="5378" max="5378" width="62.140625" style="103" customWidth="1"/>
    <col min="5379" max="5379" width="5.7109375" style="103" customWidth="1"/>
    <col min="5380" max="5381" width="5.28515625" style="103" customWidth="1"/>
    <col min="5382" max="5382" width="12.28515625" style="103" customWidth="1"/>
    <col min="5383" max="5383" width="5.7109375" style="103" customWidth="1"/>
    <col min="5384" max="5384" width="13.140625" style="103" customWidth="1"/>
    <col min="5385" max="5385" width="14" style="103" customWidth="1"/>
    <col min="5386" max="5386" width="12" style="103" customWidth="1"/>
    <col min="5387" max="5632" width="9.140625" style="103"/>
    <col min="5633" max="5633" width="1.7109375" style="103" customWidth="1"/>
    <col min="5634" max="5634" width="62.140625" style="103" customWidth="1"/>
    <col min="5635" max="5635" width="5.7109375" style="103" customWidth="1"/>
    <col min="5636" max="5637" width="5.28515625" style="103" customWidth="1"/>
    <col min="5638" max="5638" width="12.28515625" style="103" customWidth="1"/>
    <col min="5639" max="5639" width="5.7109375" style="103" customWidth="1"/>
    <col min="5640" max="5640" width="13.140625" style="103" customWidth="1"/>
    <col min="5641" max="5641" width="14" style="103" customWidth="1"/>
    <col min="5642" max="5642" width="12" style="103" customWidth="1"/>
    <col min="5643" max="5888" width="9.140625" style="103"/>
    <col min="5889" max="5889" width="1.7109375" style="103" customWidth="1"/>
    <col min="5890" max="5890" width="62.140625" style="103" customWidth="1"/>
    <col min="5891" max="5891" width="5.7109375" style="103" customWidth="1"/>
    <col min="5892" max="5893" width="5.28515625" style="103" customWidth="1"/>
    <col min="5894" max="5894" width="12.28515625" style="103" customWidth="1"/>
    <col min="5895" max="5895" width="5.7109375" style="103" customWidth="1"/>
    <col min="5896" max="5896" width="13.140625" style="103" customWidth="1"/>
    <col min="5897" max="5897" width="14" style="103" customWidth="1"/>
    <col min="5898" max="5898" width="12" style="103" customWidth="1"/>
    <col min="5899" max="6144" width="9.140625" style="103"/>
    <col min="6145" max="6145" width="1.7109375" style="103" customWidth="1"/>
    <col min="6146" max="6146" width="62.140625" style="103" customWidth="1"/>
    <col min="6147" max="6147" width="5.7109375" style="103" customWidth="1"/>
    <col min="6148" max="6149" width="5.28515625" style="103" customWidth="1"/>
    <col min="6150" max="6150" width="12.28515625" style="103" customWidth="1"/>
    <col min="6151" max="6151" width="5.7109375" style="103" customWidth="1"/>
    <col min="6152" max="6152" width="13.140625" style="103" customWidth="1"/>
    <col min="6153" max="6153" width="14" style="103" customWidth="1"/>
    <col min="6154" max="6154" width="12" style="103" customWidth="1"/>
    <col min="6155" max="6400" width="9.140625" style="103"/>
    <col min="6401" max="6401" width="1.7109375" style="103" customWidth="1"/>
    <col min="6402" max="6402" width="62.140625" style="103" customWidth="1"/>
    <col min="6403" max="6403" width="5.7109375" style="103" customWidth="1"/>
    <col min="6404" max="6405" width="5.28515625" style="103" customWidth="1"/>
    <col min="6406" max="6406" width="12.28515625" style="103" customWidth="1"/>
    <col min="6407" max="6407" width="5.7109375" style="103" customWidth="1"/>
    <col min="6408" max="6408" width="13.140625" style="103" customWidth="1"/>
    <col min="6409" max="6409" width="14" style="103" customWidth="1"/>
    <col min="6410" max="6410" width="12" style="103" customWidth="1"/>
    <col min="6411" max="6656" width="9.140625" style="103"/>
    <col min="6657" max="6657" width="1.7109375" style="103" customWidth="1"/>
    <col min="6658" max="6658" width="62.140625" style="103" customWidth="1"/>
    <col min="6659" max="6659" width="5.7109375" style="103" customWidth="1"/>
    <col min="6660" max="6661" width="5.28515625" style="103" customWidth="1"/>
    <col min="6662" max="6662" width="12.28515625" style="103" customWidth="1"/>
    <col min="6663" max="6663" width="5.7109375" style="103" customWidth="1"/>
    <col min="6664" max="6664" width="13.140625" style="103" customWidth="1"/>
    <col min="6665" max="6665" width="14" style="103" customWidth="1"/>
    <col min="6666" max="6666" width="12" style="103" customWidth="1"/>
    <col min="6667" max="6912" width="9.140625" style="103"/>
    <col min="6913" max="6913" width="1.7109375" style="103" customWidth="1"/>
    <col min="6914" max="6914" width="62.140625" style="103" customWidth="1"/>
    <col min="6915" max="6915" width="5.7109375" style="103" customWidth="1"/>
    <col min="6916" max="6917" width="5.28515625" style="103" customWidth="1"/>
    <col min="6918" max="6918" width="12.28515625" style="103" customWidth="1"/>
    <col min="6919" max="6919" width="5.7109375" style="103" customWidth="1"/>
    <col min="6920" max="6920" width="13.140625" style="103" customWidth="1"/>
    <col min="6921" max="6921" width="14" style="103" customWidth="1"/>
    <col min="6922" max="6922" width="12" style="103" customWidth="1"/>
    <col min="6923" max="7168" width="9.140625" style="103"/>
    <col min="7169" max="7169" width="1.7109375" style="103" customWidth="1"/>
    <col min="7170" max="7170" width="62.140625" style="103" customWidth="1"/>
    <col min="7171" max="7171" width="5.7109375" style="103" customWidth="1"/>
    <col min="7172" max="7173" width="5.28515625" style="103" customWidth="1"/>
    <col min="7174" max="7174" width="12.28515625" style="103" customWidth="1"/>
    <col min="7175" max="7175" width="5.7109375" style="103" customWidth="1"/>
    <col min="7176" max="7176" width="13.140625" style="103" customWidth="1"/>
    <col min="7177" max="7177" width="14" style="103" customWidth="1"/>
    <col min="7178" max="7178" width="12" style="103" customWidth="1"/>
    <col min="7179" max="7424" width="9.140625" style="103"/>
    <col min="7425" max="7425" width="1.7109375" style="103" customWidth="1"/>
    <col min="7426" max="7426" width="62.140625" style="103" customWidth="1"/>
    <col min="7427" max="7427" width="5.7109375" style="103" customWidth="1"/>
    <col min="7428" max="7429" width="5.28515625" style="103" customWidth="1"/>
    <col min="7430" max="7430" width="12.28515625" style="103" customWidth="1"/>
    <col min="7431" max="7431" width="5.7109375" style="103" customWidth="1"/>
    <col min="7432" max="7432" width="13.140625" style="103" customWidth="1"/>
    <col min="7433" max="7433" width="14" style="103" customWidth="1"/>
    <col min="7434" max="7434" width="12" style="103" customWidth="1"/>
    <col min="7435" max="7680" width="9.140625" style="103"/>
    <col min="7681" max="7681" width="1.7109375" style="103" customWidth="1"/>
    <col min="7682" max="7682" width="62.140625" style="103" customWidth="1"/>
    <col min="7683" max="7683" width="5.7109375" style="103" customWidth="1"/>
    <col min="7684" max="7685" width="5.28515625" style="103" customWidth="1"/>
    <col min="7686" max="7686" width="12.28515625" style="103" customWidth="1"/>
    <col min="7687" max="7687" width="5.7109375" style="103" customWidth="1"/>
    <col min="7688" max="7688" width="13.140625" style="103" customWidth="1"/>
    <col min="7689" max="7689" width="14" style="103" customWidth="1"/>
    <col min="7690" max="7690" width="12" style="103" customWidth="1"/>
    <col min="7691" max="7936" width="9.140625" style="103"/>
    <col min="7937" max="7937" width="1.7109375" style="103" customWidth="1"/>
    <col min="7938" max="7938" width="62.140625" style="103" customWidth="1"/>
    <col min="7939" max="7939" width="5.7109375" style="103" customWidth="1"/>
    <col min="7940" max="7941" width="5.28515625" style="103" customWidth="1"/>
    <col min="7942" max="7942" width="12.28515625" style="103" customWidth="1"/>
    <col min="7943" max="7943" width="5.7109375" style="103" customWidth="1"/>
    <col min="7944" max="7944" width="13.140625" style="103" customWidth="1"/>
    <col min="7945" max="7945" width="14" style="103" customWidth="1"/>
    <col min="7946" max="7946" width="12" style="103" customWidth="1"/>
    <col min="7947" max="8192" width="9.140625" style="103"/>
    <col min="8193" max="8193" width="1.7109375" style="103" customWidth="1"/>
    <col min="8194" max="8194" width="62.140625" style="103" customWidth="1"/>
    <col min="8195" max="8195" width="5.7109375" style="103" customWidth="1"/>
    <col min="8196" max="8197" width="5.28515625" style="103" customWidth="1"/>
    <col min="8198" max="8198" width="12.28515625" style="103" customWidth="1"/>
    <col min="8199" max="8199" width="5.7109375" style="103" customWidth="1"/>
    <col min="8200" max="8200" width="13.140625" style="103" customWidth="1"/>
    <col min="8201" max="8201" width="14" style="103" customWidth="1"/>
    <col min="8202" max="8202" width="12" style="103" customWidth="1"/>
    <col min="8203" max="8448" width="9.140625" style="103"/>
    <col min="8449" max="8449" width="1.7109375" style="103" customWidth="1"/>
    <col min="8450" max="8450" width="62.140625" style="103" customWidth="1"/>
    <col min="8451" max="8451" width="5.7109375" style="103" customWidth="1"/>
    <col min="8452" max="8453" width="5.28515625" style="103" customWidth="1"/>
    <col min="8454" max="8454" width="12.28515625" style="103" customWidth="1"/>
    <col min="8455" max="8455" width="5.7109375" style="103" customWidth="1"/>
    <col min="8456" max="8456" width="13.140625" style="103" customWidth="1"/>
    <col min="8457" max="8457" width="14" style="103" customWidth="1"/>
    <col min="8458" max="8458" width="12" style="103" customWidth="1"/>
    <col min="8459" max="8704" width="9.140625" style="103"/>
    <col min="8705" max="8705" width="1.7109375" style="103" customWidth="1"/>
    <col min="8706" max="8706" width="62.140625" style="103" customWidth="1"/>
    <col min="8707" max="8707" width="5.7109375" style="103" customWidth="1"/>
    <col min="8708" max="8709" width="5.28515625" style="103" customWidth="1"/>
    <col min="8710" max="8710" width="12.28515625" style="103" customWidth="1"/>
    <col min="8711" max="8711" width="5.7109375" style="103" customWidth="1"/>
    <col min="8712" max="8712" width="13.140625" style="103" customWidth="1"/>
    <col min="8713" max="8713" width="14" style="103" customWidth="1"/>
    <col min="8714" max="8714" width="12" style="103" customWidth="1"/>
    <col min="8715" max="8960" width="9.140625" style="103"/>
    <col min="8961" max="8961" width="1.7109375" style="103" customWidth="1"/>
    <col min="8962" max="8962" width="62.140625" style="103" customWidth="1"/>
    <col min="8963" max="8963" width="5.7109375" style="103" customWidth="1"/>
    <col min="8964" max="8965" width="5.28515625" style="103" customWidth="1"/>
    <col min="8966" max="8966" width="12.28515625" style="103" customWidth="1"/>
    <col min="8967" max="8967" width="5.7109375" style="103" customWidth="1"/>
    <col min="8968" max="8968" width="13.140625" style="103" customWidth="1"/>
    <col min="8969" max="8969" width="14" style="103" customWidth="1"/>
    <col min="8970" max="8970" width="12" style="103" customWidth="1"/>
    <col min="8971" max="9216" width="9.140625" style="103"/>
    <col min="9217" max="9217" width="1.7109375" style="103" customWidth="1"/>
    <col min="9218" max="9218" width="62.140625" style="103" customWidth="1"/>
    <col min="9219" max="9219" width="5.7109375" style="103" customWidth="1"/>
    <col min="9220" max="9221" width="5.28515625" style="103" customWidth="1"/>
    <col min="9222" max="9222" width="12.28515625" style="103" customWidth="1"/>
    <col min="9223" max="9223" width="5.7109375" style="103" customWidth="1"/>
    <col min="9224" max="9224" width="13.140625" style="103" customWidth="1"/>
    <col min="9225" max="9225" width="14" style="103" customWidth="1"/>
    <col min="9226" max="9226" width="12" style="103" customWidth="1"/>
    <col min="9227" max="9472" width="9.140625" style="103"/>
    <col min="9473" max="9473" width="1.7109375" style="103" customWidth="1"/>
    <col min="9474" max="9474" width="62.140625" style="103" customWidth="1"/>
    <col min="9475" max="9475" width="5.7109375" style="103" customWidth="1"/>
    <col min="9476" max="9477" width="5.28515625" style="103" customWidth="1"/>
    <col min="9478" max="9478" width="12.28515625" style="103" customWidth="1"/>
    <col min="9479" max="9479" width="5.7109375" style="103" customWidth="1"/>
    <col min="9480" max="9480" width="13.140625" style="103" customWidth="1"/>
    <col min="9481" max="9481" width="14" style="103" customWidth="1"/>
    <col min="9482" max="9482" width="12" style="103" customWidth="1"/>
    <col min="9483" max="9728" width="9.140625" style="103"/>
    <col min="9729" max="9729" width="1.7109375" style="103" customWidth="1"/>
    <col min="9730" max="9730" width="62.140625" style="103" customWidth="1"/>
    <col min="9731" max="9731" width="5.7109375" style="103" customWidth="1"/>
    <col min="9732" max="9733" width="5.28515625" style="103" customWidth="1"/>
    <col min="9734" max="9734" width="12.28515625" style="103" customWidth="1"/>
    <col min="9735" max="9735" width="5.7109375" style="103" customWidth="1"/>
    <col min="9736" max="9736" width="13.140625" style="103" customWidth="1"/>
    <col min="9737" max="9737" width="14" style="103" customWidth="1"/>
    <col min="9738" max="9738" width="12" style="103" customWidth="1"/>
    <col min="9739" max="9984" width="9.140625" style="103"/>
    <col min="9985" max="9985" width="1.7109375" style="103" customWidth="1"/>
    <col min="9986" max="9986" width="62.140625" style="103" customWidth="1"/>
    <col min="9987" max="9987" width="5.7109375" style="103" customWidth="1"/>
    <col min="9988" max="9989" width="5.28515625" style="103" customWidth="1"/>
    <col min="9990" max="9990" width="12.28515625" style="103" customWidth="1"/>
    <col min="9991" max="9991" width="5.7109375" style="103" customWidth="1"/>
    <col min="9992" max="9992" width="13.140625" style="103" customWidth="1"/>
    <col min="9993" max="9993" width="14" style="103" customWidth="1"/>
    <col min="9994" max="9994" width="12" style="103" customWidth="1"/>
    <col min="9995" max="10240" width="9.140625" style="103"/>
    <col min="10241" max="10241" width="1.7109375" style="103" customWidth="1"/>
    <col min="10242" max="10242" width="62.140625" style="103" customWidth="1"/>
    <col min="10243" max="10243" width="5.7109375" style="103" customWidth="1"/>
    <col min="10244" max="10245" width="5.28515625" style="103" customWidth="1"/>
    <col min="10246" max="10246" width="12.28515625" style="103" customWidth="1"/>
    <col min="10247" max="10247" width="5.7109375" style="103" customWidth="1"/>
    <col min="10248" max="10248" width="13.140625" style="103" customWidth="1"/>
    <col min="10249" max="10249" width="14" style="103" customWidth="1"/>
    <col min="10250" max="10250" width="12" style="103" customWidth="1"/>
    <col min="10251" max="10496" width="9.140625" style="103"/>
    <col min="10497" max="10497" width="1.7109375" style="103" customWidth="1"/>
    <col min="10498" max="10498" width="62.140625" style="103" customWidth="1"/>
    <col min="10499" max="10499" width="5.7109375" style="103" customWidth="1"/>
    <col min="10500" max="10501" width="5.28515625" style="103" customWidth="1"/>
    <col min="10502" max="10502" width="12.28515625" style="103" customWidth="1"/>
    <col min="10503" max="10503" width="5.7109375" style="103" customWidth="1"/>
    <col min="10504" max="10504" width="13.140625" style="103" customWidth="1"/>
    <col min="10505" max="10505" width="14" style="103" customWidth="1"/>
    <col min="10506" max="10506" width="12" style="103" customWidth="1"/>
    <col min="10507" max="10752" width="9.140625" style="103"/>
    <col min="10753" max="10753" width="1.7109375" style="103" customWidth="1"/>
    <col min="10754" max="10754" width="62.140625" style="103" customWidth="1"/>
    <col min="10755" max="10755" width="5.7109375" style="103" customWidth="1"/>
    <col min="10756" max="10757" width="5.28515625" style="103" customWidth="1"/>
    <col min="10758" max="10758" width="12.28515625" style="103" customWidth="1"/>
    <col min="10759" max="10759" width="5.7109375" style="103" customWidth="1"/>
    <col min="10760" max="10760" width="13.140625" style="103" customWidth="1"/>
    <col min="10761" max="10761" width="14" style="103" customWidth="1"/>
    <col min="10762" max="10762" width="12" style="103" customWidth="1"/>
    <col min="10763" max="11008" width="9.140625" style="103"/>
    <col min="11009" max="11009" width="1.7109375" style="103" customWidth="1"/>
    <col min="11010" max="11010" width="62.140625" style="103" customWidth="1"/>
    <col min="11011" max="11011" width="5.7109375" style="103" customWidth="1"/>
    <col min="11012" max="11013" width="5.28515625" style="103" customWidth="1"/>
    <col min="11014" max="11014" width="12.28515625" style="103" customWidth="1"/>
    <col min="11015" max="11015" width="5.7109375" style="103" customWidth="1"/>
    <col min="11016" max="11016" width="13.140625" style="103" customWidth="1"/>
    <col min="11017" max="11017" width="14" style="103" customWidth="1"/>
    <col min="11018" max="11018" width="12" style="103" customWidth="1"/>
    <col min="11019" max="11264" width="9.140625" style="103"/>
    <col min="11265" max="11265" width="1.7109375" style="103" customWidth="1"/>
    <col min="11266" max="11266" width="62.140625" style="103" customWidth="1"/>
    <col min="11267" max="11267" width="5.7109375" style="103" customWidth="1"/>
    <col min="11268" max="11269" width="5.28515625" style="103" customWidth="1"/>
    <col min="11270" max="11270" width="12.28515625" style="103" customWidth="1"/>
    <col min="11271" max="11271" width="5.7109375" style="103" customWidth="1"/>
    <col min="11272" max="11272" width="13.140625" style="103" customWidth="1"/>
    <col min="11273" max="11273" width="14" style="103" customWidth="1"/>
    <col min="11274" max="11274" width="12" style="103" customWidth="1"/>
    <col min="11275" max="11520" width="9.140625" style="103"/>
    <col min="11521" max="11521" width="1.7109375" style="103" customWidth="1"/>
    <col min="11522" max="11522" width="62.140625" style="103" customWidth="1"/>
    <col min="11523" max="11523" width="5.7109375" style="103" customWidth="1"/>
    <col min="11524" max="11525" width="5.28515625" style="103" customWidth="1"/>
    <col min="11526" max="11526" width="12.28515625" style="103" customWidth="1"/>
    <col min="11527" max="11527" width="5.7109375" style="103" customWidth="1"/>
    <col min="11528" max="11528" width="13.140625" style="103" customWidth="1"/>
    <col min="11529" max="11529" width="14" style="103" customWidth="1"/>
    <col min="11530" max="11530" width="12" style="103" customWidth="1"/>
    <col min="11531" max="11776" width="9.140625" style="103"/>
    <col min="11777" max="11777" width="1.7109375" style="103" customWidth="1"/>
    <col min="11778" max="11778" width="62.140625" style="103" customWidth="1"/>
    <col min="11779" max="11779" width="5.7109375" style="103" customWidth="1"/>
    <col min="11780" max="11781" width="5.28515625" style="103" customWidth="1"/>
    <col min="11782" max="11782" width="12.28515625" style="103" customWidth="1"/>
    <col min="11783" max="11783" width="5.7109375" style="103" customWidth="1"/>
    <col min="11784" max="11784" width="13.140625" style="103" customWidth="1"/>
    <col min="11785" max="11785" width="14" style="103" customWidth="1"/>
    <col min="11786" max="11786" width="12" style="103" customWidth="1"/>
    <col min="11787" max="12032" width="9.140625" style="103"/>
    <col min="12033" max="12033" width="1.7109375" style="103" customWidth="1"/>
    <col min="12034" max="12034" width="62.140625" style="103" customWidth="1"/>
    <col min="12035" max="12035" width="5.7109375" style="103" customWidth="1"/>
    <col min="12036" max="12037" width="5.28515625" style="103" customWidth="1"/>
    <col min="12038" max="12038" width="12.28515625" style="103" customWidth="1"/>
    <col min="12039" max="12039" width="5.7109375" style="103" customWidth="1"/>
    <col min="12040" max="12040" width="13.140625" style="103" customWidth="1"/>
    <col min="12041" max="12041" width="14" style="103" customWidth="1"/>
    <col min="12042" max="12042" width="12" style="103" customWidth="1"/>
    <col min="12043" max="12288" width="9.140625" style="103"/>
    <col min="12289" max="12289" width="1.7109375" style="103" customWidth="1"/>
    <col min="12290" max="12290" width="62.140625" style="103" customWidth="1"/>
    <col min="12291" max="12291" width="5.7109375" style="103" customWidth="1"/>
    <col min="12292" max="12293" width="5.28515625" style="103" customWidth="1"/>
    <col min="12294" max="12294" width="12.28515625" style="103" customWidth="1"/>
    <col min="12295" max="12295" width="5.7109375" style="103" customWidth="1"/>
    <col min="12296" max="12296" width="13.140625" style="103" customWidth="1"/>
    <col min="12297" max="12297" width="14" style="103" customWidth="1"/>
    <col min="12298" max="12298" width="12" style="103" customWidth="1"/>
    <col min="12299" max="12544" width="9.140625" style="103"/>
    <col min="12545" max="12545" width="1.7109375" style="103" customWidth="1"/>
    <col min="12546" max="12546" width="62.140625" style="103" customWidth="1"/>
    <col min="12547" max="12547" width="5.7109375" style="103" customWidth="1"/>
    <col min="12548" max="12549" width="5.28515625" style="103" customWidth="1"/>
    <col min="12550" max="12550" width="12.28515625" style="103" customWidth="1"/>
    <col min="12551" max="12551" width="5.7109375" style="103" customWidth="1"/>
    <col min="12552" max="12552" width="13.140625" style="103" customWidth="1"/>
    <col min="12553" max="12553" width="14" style="103" customWidth="1"/>
    <col min="12554" max="12554" width="12" style="103" customWidth="1"/>
    <col min="12555" max="12800" width="9.140625" style="103"/>
    <col min="12801" max="12801" width="1.7109375" style="103" customWidth="1"/>
    <col min="12802" max="12802" width="62.140625" style="103" customWidth="1"/>
    <col min="12803" max="12803" width="5.7109375" style="103" customWidth="1"/>
    <col min="12804" max="12805" width="5.28515625" style="103" customWidth="1"/>
    <col min="12806" max="12806" width="12.28515625" style="103" customWidth="1"/>
    <col min="12807" max="12807" width="5.7109375" style="103" customWidth="1"/>
    <col min="12808" max="12808" width="13.140625" style="103" customWidth="1"/>
    <col min="12809" max="12809" width="14" style="103" customWidth="1"/>
    <col min="12810" max="12810" width="12" style="103" customWidth="1"/>
    <col min="12811" max="13056" width="9.140625" style="103"/>
    <col min="13057" max="13057" width="1.7109375" style="103" customWidth="1"/>
    <col min="13058" max="13058" width="62.140625" style="103" customWidth="1"/>
    <col min="13059" max="13059" width="5.7109375" style="103" customWidth="1"/>
    <col min="13060" max="13061" width="5.28515625" style="103" customWidth="1"/>
    <col min="13062" max="13062" width="12.28515625" style="103" customWidth="1"/>
    <col min="13063" max="13063" width="5.7109375" style="103" customWidth="1"/>
    <col min="13064" max="13064" width="13.140625" style="103" customWidth="1"/>
    <col min="13065" max="13065" width="14" style="103" customWidth="1"/>
    <col min="13066" max="13066" width="12" style="103" customWidth="1"/>
    <col min="13067" max="13312" width="9.140625" style="103"/>
    <col min="13313" max="13313" width="1.7109375" style="103" customWidth="1"/>
    <col min="13314" max="13314" width="62.140625" style="103" customWidth="1"/>
    <col min="13315" max="13315" width="5.7109375" style="103" customWidth="1"/>
    <col min="13316" max="13317" width="5.28515625" style="103" customWidth="1"/>
    <col min="13318" max="13318" width="12.28515625" style="103" customWidth="1"/>
    <col min="13319" max="13319" width="5.7109375" style="103" customWidth="1"/>
    <col min="13320" max="13320" width="13.140625" style="103" customWidth="1"/>
    <col min="13321" max="13321" width="14" style="103" customWidth="1"/>
    <col min="13322" max="13322" width="12" style="103" customWidth="1"/>
    <col min="13323" max="13568" width="9.140625" style="103"/>
    <col min="13569" max="13569" width="1.7109375" style="103" customWidth="1"/>
    <col min="13570" max="13570" width="62.140625" style="103" customWidth="1"/>
    <col min="13571" max="13571" width="5.7109375" style="103" customWidth="1"/>
    <col min="13572" max="13573" width="5.28515625" style="103" customWidth="1"/>
    <col min="13574" max="13574" width="12.28515625" style="103" customWidth="1"/>
    <col min="13575" max="13575" width="5.7109375" style="103" customWidth="1"/>
    <col min="13576" max="13576" width="13.140625" style="103" customWidth="1"/>
    <col min="13577" max="13577" width="14" style="103" customWidth="1"/>
    <col min="13578" max="13578" width="12" style="103" customWidth="1"/>
    <col min="13579" max="13824" width="9.140625" style="103"/>
    <col min="13825" max="13825" width="1.7109375" style="103" customWidth="1"/>
    <col min="13826" max="13826" width="62.140625" style="103" customWidth="1"/>
    <col min="13827" max="13827" width="5.7109375" style="103" customWidth="1"/>
    <col min="13828" max="13829" width="5.28515625" style="103" customWidth="1"/>
    <col min="13830" max="13830" width="12.28515625" style="103" customWidth="1"/>
    <col min="13831" max="13831" width="5.7109375" style="103" customWidth="1"/>
    <col min="13832" max="13832" width="13.140625" style="103" customWidth="1"/>
    <col min="13833" max="13833" width="14" style="103" customWidth="1"/>
    <col min="13834" max="13834" width="12" style="103" customWidth="1"/>
    <col min="13835" max="14080" width="9.140625" style="103"/>
    <col min="14081" max="14081" width="1.7109375" style="103" customWidth="1"/>
    <col min="14082" max="14082" width="62.140625" style="103" customWidth="1"/>
    <col min="14083" max="14083" width="5.7109375" style="103" customWidth="1"/>
    <col min="14084" max="14085" width="5.28515625" style="103" customWidth="1"/>
    <col min="14086" max="14086" width="12.28515625" style="103" customWidth="1"/>
    <col min="14087" max="14087" width="5.7109375" style="103" customWidth="1"/>
    <col min="14088" max="14088" width="13.140625" style="103" customWidth="1"/>
    <col min="14089" max="14089" width="14" style="103" customWidth="1"/>
    <col min="14090" max="14090" width="12" style="103" customWidth="1"/>
    <col min="14091" max="14336" width="9.140625" style="103"/>
    <col min="14337" max="14337" width="1.7109375" style="103" customWidth="1"/>
    <col min="14338" max="14338" width="62.140625" style="103" customWidth="1"/>
    <col min="14339" max="14339" width="5.7109375" style="103" customWidth="1"/>
    <col min="14340" max="14341" width="5.28515625" style="103" customWidth="1"/>
    <col min="14342" max="14342" width="12.28515625" style="103" customWidth="1"/>
    <col min="14343" max="14343" width="5.7109375" style="103" customWidth="1"/>
    <col min="14344" max="14344" width="13.140625" style="103" customWidth="1"/>
    <col min="14345" max="14345" width="14" style="103" customWidth="1"/>
    <col min="14346" max="14346" width="12" style="103" customWidth="1"/>
    <col min="14347" max="14592" width="9.140625" style="103"/>
    <col min="14593" max="14593" width="1.7109375" style="103" customWidth="1"/>
    <col min="14594" max="14594" width="62.140625" style="103" customWidth="1"/>
    <col min="14595" max="14595" width="5.7109375" style="103" customWidth="1"/>
    <col min="14596" max="14597" width="5.28515625" style="103" customWidth="1"/>
    <col min="14598" max="14598" width="12.28515625" style="103" customWidth="1"/>
    <col min="14599" max="14599" width="5.7109375" style="103" customWidth="1"/>
    <col min="14600" max="14600" width="13.140625" style="103" customWidth="1"/>
    <col min="14601" max="14601" width="14" style="103" customWidth="1"/>
    <col min="14602" max="14602" width="12" style="103" customWidth="1"/>
    <col min="14603" max="14848" width="9.140625" style="103"/>
    <col min="14849" max="14849" width="1.7109375" style="103" customWidth="1"/>
    <col min="14850" max="14850" width="62.140625" style="103" customWidth="1"/>
    <col min="14851" max="14851" width="5.7109375" style="103" customWidth="1"/>
    <col min="14852" max="14853" width="5.28515625" style="103" customWidth="1"/>
    <col min="14854" max="14854" width="12.28515625" style="103" customWidth="1"/>
    <col min="14855" max="14855" width="5.7109375" style="103" customWidth="1"/>
    <col min="14856" max="14856" width="13.140625" style="103" customWidth="1"/>
    <col min="14857" max="14857" width="14" style="103" customWidth="1"/>
    <col min="14858" max="14858" width="12" style="103" customWidth="1"/>
    <col min="14859" max="15104" width="9.140625" style="103"/>
    <col min="15105" max="15105" width="1.7109375" style="103" customWidth="1"/>
    <col min="15106" max="15106" width="62.140625" style="103" customWidth="1"/>
    <col min="15107" max="15107" width="5.7109375" style="103" customWidth="1"/>
    <col min="15108" max="15109" width="5.28515625" style="103" customWidth="1"/>
    <col min="15110" max="15110" width="12.28515625" style="103" customWidth="1"/>
    <col min="15111" max="15111" width="5.7109375" style="103" customWidth="1"/>
    <col min="15112" max="15112" width="13.140625" style="103" customWidth="1"/>
    <col min="15113" max="15113" width="14" style="103" customWidth="1"/>
    <col min="15114" max="15114" width="12" style="103" customWidth="1"/>
    <col min="15115" max="15360" width="9.140625" style="103"/>
    <col min="15361" max="15361" width="1.7109375" style="103" customWidth="1"/>
    <col min="15362" max="15362" width="62.140625" style="103" customWidth="1"/>
    <col min="15363" max="15363" width="5.7109375" style="103" customWidth="1"/>
    <col min="15364" max="15365" width="5.28515625" style="103" customWidth="1"/>
    <col min="15366" max="15366" width="12.28515625" style="103" customWidth="1"/>
    <col min="15367" max="15367" width="5.7109375" style="103" customWidth="1"/>
    <col min="15368" max="15368" width="13.140625" style="103" customWidth="1"/>
    <col min="15369" max="15369" width="14" style="103" customWidth="1"/>
    <col min="15370" max="15370" width="12" style="103" customWidth="1"/>
    <col min="15371" max="15616" width="9.140625" style="103"/>
    <col min="15617" max="15617" width="1.7109375" style="103" customWidth="1"/>
    <col min="15618" max="15618" width="62.140625" style="103" customWidth="1"/>
    <col min="15619" max="15619" width="5.7109375" style="103" customWidth="1"/>
    <col min="15620" max="15621" width="5.28515625" style="103" customWidth="1"/>
    <col min="15622" max="15622" width="12.28515625" style="103" customWidth="1"/>
    <col min="15623" max="15623" width="5.7109375" style="103" customWidth="1"/>
    <col min="15624" max="15624" width="13.140625" style="103" customWidth="1"/>
    <col min="15625" max="15625" width="14" style="103" customWidth="1"/>
    <col min="15626" max="15626" width="12" style="103" customWidth="1"/>
    <col min="15627" max="15872" width="9.140625" style="103"/>
    <col min="15873" max="15873" width="1.7109375" style="103" customWidth="1"/>
    <col min="15874" max="15874" width="62.140625" style="103" customWidth="1"/>
    <col min="15875" max="15875" width="5.7109375" style="103" customWidth="1"/>
    <col min="15876" max="15877" width="5.28515625" style="103" customWidth="1"/>
    <col min="15878" max="15878" width="12.28515625" style="103" customWidth="1"/>
    <col min="15879" max="15879" width="5.7109375" style="103" customWidth="1"/>
    <col min="15880" max="15880" width="13.140625" style="103" customWidth="1"/>
    <col min="15881" max="15881" width="14" style="103" customWidth="1"/>
    <col min="15882" max="15882" width="12" style="103" customWidth="1"/>
    <col min="15883" max="16128" width="9.140625" style="103"/>
    <col min="16129" max="16129" width="1.7109375" style="103" customWidth="1"/>
    <col min="16130" max="16130" width="62.140625" style="103" customWidth="1"/>
    <col min="16131" max="16131" width="5.7109375" style="103" customWidth="1"/>
    <col min="16132" max="16133" width="5.28515625" style="103" customWidth="1"/>
    <col min="16134" max="16134" width="12.28515625" style="103" customWidth="1"/>
    <col min="16135" max="16135" width="5.7109375" style="103" customWidth="1"/>
    <col min="16136" max="16136" width="13.140625" style="103" customWidth="1"/>
    <col min="16137" max="16137" width="14" style="103" customWidth="1"/>
    <col min="16138" max="16138" width="12" style="103" customWidth="1"/>
    <col min="16139" max="16384" width="9.140625" style="103"/>
  </cols>
  <sheetData>
    <row r="1" spans="1:10" ht="16.5" customHeight="1" x14ac:dyDescent="0.25">
      <c r="A1" s="148" t="s">
        <v>719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x14ac:dyDescent="0.25">
      <c r="H2" s="105" t="s">
        <v>283</v>
      </c>
    </row>
    <row r="3" spans="1:10" s="41" customFormat="1" ht="14.25" customHeight="1" x14ac:dyDescent="0.25">
      <c r="A3" s="131" t="s">
        <v>0</v>
      </c>
      <c r="B3" s="131"/>
      <c r="C3" s="46" t="s">
        <v>687</v>
      </c>
      <c r="D3" s="78" t="s">
        <v>1</v>
      </c>
      <c r="E3" s="78" t="s">
        <v>2</v>
      </c>
      <c r="F3" s="78" t="s">
        <v>3</v>
      </c>
      <c r="G3" s="78" t="s">
        <v>4</v>
      </c>
      <c r="H3" s="46" t="s">
        <v>286</v>
      </c>
      <c r="I3" s="46" t="s">
        <v>287</v>
      </c>
      <c r="J3" s="46" t="s">
        <v>523</v>
      </c>
    </row>
    <row r="4" spans="1:10" s="109" customFormat="1" ht="12.75" x14ac:dyDescent="0.2">
      <c r="A4" s="144" t="s">
        <v>688</v>
      </c>
      <c r="B4" s="144"/>
      <c r="C4" s="106">
        <v>851</v>
      </c>
      <c r="D4" s="107"/>
      <c r="E4" s="107"/>
      <c r="F4" s="107"/>
      <c r="G4" s="107"/>
      <c r="H4" s="108">
        <f>H5+H55+H70+H106+H111+H121+H163+H179</f>
        <v>29024.248</v>
      </c>
      <c r="I4" s="108">
        <f>I5+I55+I70+I106+I111+I121+I163+I179</f>
        <v>569.35300000000007</v>
      </c>
      <c r="J4" s="108">
        <f>J5+J55+J70+J106+J111+J121+J163+J179</f>
        <v>28855.207000000002</v>
      </c>
    </row>
    <row r="5" spans="1:10" s="6" customFormat="1" ht="15.75" customHeight="1" x14ac:dyDescent="0.25">
      <c r="A5" s="128" t="s">
        <v>5</v>
      </c>
      <c r="B5" s="128"/>
      <c r="C5" s="50">
        <v>851</v>
      </c>
      <c r="D5" s="81" t="s">
        <v>6</v>
      </c>
      <c r="E5" s="81"/>
      <c r="F5" s="81"/>
      <c r="G5" s="81"/>
      <c r="H5" s="86">
        <f>H6+H10+H19+H32+H38</f>
        <v>10826.644</v>
      </c>
      <c r="I5" s="86">
        <f>I6+I10+I19+I32+I38</f>
        <v>-29.5</v>
      </c>
      <c r="J5" s="86">
        <f>J6+J10+J19+J32+J38</f>
        <v>10307.208999999999</v>
      </c>
    </row>
    <row r="6" spans="1:10" s="6" customFormat="1" ht="26.25" customHeight="1" x14ac:dyDescent="0.25">
      <c r="A6" s="128" t="s">
        <v>525</v>
      </c>
      <c r="B6" s="128"/>
      <c r="C6" s="50">
        <v>851</v>
      </c>
      <c r="D6" s="81" t="s">
        <v>6</v>
      </c>
      <c r="E6" s="81" t="s">
        <v>51</v>
      </c>
      <c r="F6" s="81"/>
      <c r="G6" s="81"/>
      <c r="H6" s="82">
        <f>H7</f>
        <v>656.1</v>
      </c>
      <c r="I6" s="82">
        <f t="shared" ref="I6:J8" si="0">I7</f>
        <v>0</v>
      </c>
      <c r="J6" s="82">
        <f t="shared" si="0"/>
        <v>646.1</v>
      </c>
    </row>
    <row r="7" spans="1:10" s="1" customFormat="1" ht="40.5" customHeight="1" x14ac:dyDescent="0.25">
      <c r="A7" s="129" t="s">
        <v>9</v>
      </c>
      <c r="B7" s="129"/>
      <c r="C7" s="54">
        <v>851</v>
      </c>
      <c r="D7" s="3" t="s">
        <v>6</v>
      </c>
      <c r="E7" s="3" t="s">
        <v>51</v>
      </c>
      <c r="F7" s="3" t="s">
        <v>19</v>
      </c>
      <c r="G7" s="3"/>
      <c r="H7" s="83">
        <f>H8</f>
        <v>656.1</v>
      </c>
      <c r="I7" s="83">
        <f t="shared" si="0"/>
        <v>0</v>
      </c>
      <c r="J7" s="83">
        <f t="shared" si="0"/>
        <v>646.1</v>
      </c>
    </row>
    <row r="8" spans="1:10" s="1" customFormat="1" ht="12.75" customHeight="1" x14ac:dyDescent="0.25">
      <c r="A8" s="129" t="s">
        <v>526</v>
      </c>
      <c r="B8" s="129"/>
      <c r="C8" s="54">
        <v>851</v>
      </c>
      <c r="D8" s="3" t="s">
        <v>6</v>
      </c>
      <c r="E8" s="3" t="s">
        <v>51</v>
      </c>
      <c r="F8" s="3" t="s">
        <v>527</v>
      </c>
      <c r="G8" s="3"/>
      <c r="H8" s="83">
        <f>H9</f>
        <v>656.1</v>
      </c>
      <c r="I8" s="83">
        <f t="shared" si="0"/>
        <v>0</v>
      </c>
      <c r="J8" s="83">
        <f t="shared" si="0"/>
        <v>646.1</v>
      </c>
    </row>
    <row r="9" spans="1:10" s="1" customFormat="1" ht="12.75" x14ac:dyDescent="0.25">
      <c r="A9" s="84"/>
      <c r="B9" s="84" t="s">
        <v>40</v>
      </c>
      <c r="C9" s="54">
        <v>851</v>
      </c>
      <c r="D9" s="3" t="s">
        <v>6</v>
      </c>
      <c r="E9" s="3" t="s">
        <v>51</v>
      </c>
      <c r="F9" s="3" t="s">
        <v>527</v>
      </c>
      <c r="G9" s="3" t="s">
        <v>41</v>
      </c>
      <c r="H9" s="83">
        <v>656.1</v>
      </c>
      <c r="I9" s="85"/>
      <c r="J9" s="85">
        <v>646.1</v>
      </c>
    </row>
    <row r="10" spans="1:10" s="6" customFormat="1" ht="42" customHeight="1" x14ac:dyDescent="0.25">
      <c r="A10" s="128" t="s">
        <v>7</v>
      </c>
      <c r="B10" s="128"/>
      <c r="C10" s="54">
        <v>851</v>
      </c>
      <c r="D10" s="81" t="s">
        <v>6</v>
      </c>
      <c r="E10" s="81" t="s">
        <v>8</v>
      </c>
      <c r="F10" s="81"/>
      <c r="G10" s="81"/>
      <c r="H10" s="86">
        <f t="shared" ref="H10:J11" si="1">H11</f>
        <v>717.1</v>
      </c>
      <c r="I10" s="86">
        <f t="shared" si="1"/>
        <v>0</v>
      </c>
      <c r="J10" s="86">
        <f t="shared" si="1"/>
        <v>700.26599999999996</v>
      </c>
    </row>
    <row r="11" spans="1:10" s="1" customFormat="1" ht="39.75" customHeight="1" x14ac:dyDescent="0.25">
      <c r="A11" s="129" t="s">
        <v>9</v>
      </c>
      <c r="B11" s="129"/>
      <c r="C11" s="54">
        <v>851</v>
      </c>
      <c r="D11" s="3" t="s">
        <v>6</v>
      </c>
      <c r="E11" s="3" t="s">
        <v>8</v>
      </c>
      <c r="F11" s="3" t="s">
        <v>10</v>
      </c>
      <c r="G11" s="3"/>
      <c r="H11" s="85">
        <f t="shared" si="1"/>
        <v>717.1</v>
      </c>
      <c r="I11" s="85">
        <f t="shared" si="1"/>
        <v>0</v>
      </c>
      <c r="J11" s="85">
        <f t="shared" si="1"/>
        <v>700.26599999999996</v>
      </c>
    </row>
    <row r="12" spans="1:10" s="1" customFormat="1" ht="15.75" customHeight="1" x14ac:dyDescent="0.25">
      <c r="A12" s="129" t="s">
        <v>11</v>
      </c>
      <c r="B12" s="129"/>
      <c r="C12" s="54">
        <v>851</v>
      </c>
      <c r="D12" s="3" t="s">
        <v>6</v>
      </c>
      <c r="E12" s="3" t="s">
        <v>8</v>
      </c>
      <c r="F12" s="3" t="s">
        <v>12</v>
      </c>
      <c r="G12" s="3"/>
      <c r="H12" s="85">
        <f>H13+H15+H17</f>
        <v>717.1</v>
      </c>
      <c r="I12" s="85">
        <f>I13+I15+I17</f>
        <v>0</v>
      </c>
      <c r="J12" s="85">
        <f>J13+J15+J17</f>
        <v>700.26599999999996</v>
      </c>
    </row>
    <row r="13" spans="1:10" s="1" customFormat="1" ht="15.75" customHeight="1" x14ac:dyDescent="0.25">
      <c r="A13" s="129" t="s">
        <v>13</v>
      </c>
      <c r="B13" s="129"/>
      <c r="C13" s="54">
        <v>851</v>
      </c>
      <c r="D13" s="3" t="s">
        <v>6</v>
      </c>
      <c r="E13" s="3" t="s">
        <v>8</v>
      </c>
      <c r="F13" s="3" t="s">
        <v>14</v>
      </c>
      <c r="G13" s="3"/>
      <c r="H13" s="85">
        <f>H14</f>
        <v>476.6</v>
      </c>
      <c r="I13" s="85">
        <f>I14</f>
        <v>0</v>
      </c>
      <c r="J13" s="85">
        <f>J14</f>
        <v>462.43599999999998</v>
      </c>
    </row>
    <row r="14" spans="1:10" s="1" customFormat="1" ht="15.75" customHeight="1" x14ac:dyDescent="0.25">
      <c r="A14" s="55"/>
      <c r="B14" s="84" t="s">
        <v>40</v>
      </c>
      <c r="C14" s="54">
        <v>851</v>
      </c>
      <c r="D14" s="3" t="s">
        <v>6</v>
      </c>
      <c r="E14" s="3" t="s">
        <v>8</v>
      </c>
      <c r="F14" s="3" t="s">
        <v>14</v>
      </c>
      <c r="G14" s="3" t="s">
        <v>41</v>
      </c>
      <c r="H14" s="85">
        <v>476.6</v>
      </c>
      <c r="I14" s="85"/>
      <c r="J14" s="85">
        <v>462.43599999999998</v>
      </c>
    </row>
    <row r="15" spans="1:10" s="1" customFormat="1" ht="15.75" customHeight="1" x14ac:dyDescent="0.25">
      <c r="A15" s="129" t="s">
        <v>528</v>
      </c>
      <c r="B15" s="129"/>
      <c r="C15" s="54">
        <v>851</v>
      </c>
      <c r="D15" s="3" t="s">
        <v>6</v>
      </c>
      <c r="E15" s="3" t="s">
        <v>8</v>
      </c>
      <c r="F15" s="3" t="s">
        <v>529</v>
      </c>
      <c r="G15" s="3"/>
      <c r="H15" s="85">
        <f>H16</f>
        <v>0.6</v>
      </c>
      <c r="I15" s="85">
        <f>I16</f>
        <v>0</v>
      </c>
      <c r="J15" s="85">
        <f>J16</f>
        <v>0.6</v>
      </c>
    </row>
    <row r="16" spans="1:10" s="1" customFormat="1" ht="15.75" customHeight="1" x14ac:dyDescent="0.25">
      <c r="A16" s="55"/>
      <c r="B16" s="84" t="s">
        <v>40</v>
      </c>
      <c r="C16" s="54">
        <v>851</v>
      </c>
      <c r="D16" s="3" t="s">
        <v>6</v>
      </c>
      <c r="E16" s="3" t="s">
        <v>8</v>
      </c>
      <c r="F16" s="3" t="s">
        <v>529</v>
      </c>
      <c r="G16" s="3" t="s">
        <v>41</v>
      </c>
      <c r="H16" s="85">
        <v>0.6</v>
      </c>
      <c r="I16" s="85"/>
      <c r="J16" s="85">
        <f>H16+I16</f>
        <v>0.6</v>
      </c>
    </row>
    <row r="17" spans="1:10" s="1" customFormat="1" ht="26.25" customHeight="1" x14ac:dyDescent="0.25">
      <c r="A17" s="129" t="s">
        <v>15</v>
      </c>
      <c r="B17" s="129"/>
      <c r="C17" s="54">
        <v>851</v>
      </c>
      <c r="D17" s="3" t="s">
        <v>6</v>
      </c>
      <c r="E17" s="3" t="s">
        <v>8</v>
      </c>
      <c r="F17" s="3" t="s">
        <v>16</v>
      </c>
      <c r="G17" s="3"/>
      <c r="H17" s="85">
        <f>H18</f>
        <v>239.9</v>
      </c>
      <c r="I17" s="85">
        <f>I18</f>
        <v>0</v>
      </c>
      <c r="J17" s="85">
        <f>J18</f>
        <v>237.23</v>
      </c>
    </row>
    <row r="18" spans="1:10" s="1" customFormat="1" ht="13.5" customHeight="1" x14ac:dyDescent="0.25">
      <c r="A18" s="55"/>
      <c r="B18" s="84" t="s">
        <v>40</v>
      </c>
      <c r="C18" s="54">
        <v>851</v>
      </c>
      <c r="D18" s="3" t="s">
        <v>6</v>
      </c>
      <c r="E18" s="3" t="s">
        <v>8</v>
      </c>
      <c r="F18" s="3" t="s">
        <v>16</v>
      </c>
      <c r="G18" s="3" t="s">
        <v>41</v>
      </c>
      <c r="H18" s="85">
        <v>239.9</v>
      </c>
      <c r="I18" s="85"/>
      <c r="J18" s="85">
        <v>237.23</v>
      </c>
    </row>
    <row r="19" spans="1:10" s="6" customFormat="1" ht="41.25" customHeight="1" x14ac:dyDescent="0.25">
      <c r="A19" s="128" t="s">
        <v>17</v>
      </c>
      <c r="B19" s="128"/>
      <c r="C19" s="50">
        <v>851</v>
      </c>
      <c r="D19" s="81" t="s">
        <v>6</v>
      </c>
      <c r="E19" s="81" t="s">
        <v>18</v>
      </c>
      <c r="F19" s="81"/>
      <c r="G19" s="81"/>
      <c r="H19" s="86">
        <f t="shared" ref="H19:J20" si="2">H20</f>
        <v>7784.4</v>
      </c>
      <c r="I19" s="86">
        <f t="shared" si="2"/>
        <v>0</v>
      </c>
      <c r="J19" s="86">
        <f t="shared" si="2"/>
        <v>7373.2739999999994</v>
      </c>
    </row>
    <row r="20" spans="1:10" s="1" customFormat="1" ht="39.75" customHeight="1" x14ac:dyDescent="0.25">
      <c r="A20" s="129" t="s">
        <v>9</v>
      </c>
      <c r="B20" s="129"/>
      <c r="C20" s="54">
        <v>851</v>
      </c>
      <c r="D20" s="3" t="s">
        <v>6</v>
      </c>
      <c r="E20" s="3" t="s">
        <v>18</v>
      </c>
      <c r="F20" s="3" t="s">
        <v>19</v>
      </c>
      <c r="G20" s="3"/>
      <c r="H20" s="85">
        <f t="shared" si="2"/>
        <v>7784.4</v>
      </c>
      <c r="I20" s="85">
        <f t="shared" si="2"/>
        <v>0</v>
      </c>
      <c r="J20" s="85">
        <f t="shared" si="2"/>
        <v>7373.2739999999994</v>
      </c>
    </row>
    <row r="21" spans="1:10" s="1" customFormat="1" ht="14.25" customHeight="1" x14ac:dyDescent="0.25">
      <c r="A21" s="129" t="s">
        <v>11</v>
      </c>
      <c r="B21" s="129"/>
      <c r="C21" s="54">
        <v>851</v>
      </c>
      <c r="D21" s="3" t="s">
        <v>6</v>
      </c>
      <c r="E21" s="3" t="s">
        <v>18</v>
      </c>
      <c r="F21" s="3" t="s">
        <v>12</v>
      </c>
      <c r="G21" s="3"/>
      <c r="H21" s="85">
        <f>H22+H26+H28+H30</f>
        <v>7784.4</v>
      </c>
      <c r="I21" s="85">
        <f>I22+I26+I28+I30</f>
        <v>0</v>
      </c>
      <c r="J21" s="85">
        <f>J22+J26+J28+J30</f>
        <v>7373.2739999999994</v>
      </c>
    </row>
    <row r="22" spans="1:10" s="1" customFormat="1" ht="15.75" customHeight="1" x14ac:dyDescent="0.25">
      <c r="A22" s="129" t="s">
        <v>13</v>
      </c>
      <c r="B22" s="129"/>
      <c r="C22" s="54">
        <v>851</v>
      </c>
      <c r="D22" s="3" t="s">
        <v>6</v>
      </c>
      <c r="E22" s="3" t="s">
        <v>18</v>
      </c>
      <c r="F22" s="3" t="s">
        <v>14</v>
      </c>
      <c r="G22" s="3"/>
      <c r="H22" s="85">
        <f>H23</f>
        <v>7580.4</v>
      </c>
      <c r="I22" s="85">
        <f>I23</f>
        <v>0</v>
      </c>
      <c r="J22" s="85">
        <f>J23</f>
        <v>7196.0739999999996</v>
      </c>
    </row>
    <row r="23" spans="1:10" s="1" customFormat="1" ht="16.5" customHeight="1" x14ac:dyDescent="0.25">
      <c r="A23" s="55"/>
      <c r="B23" s="84" t="s">
        <v>40</v>
      </c>
      <c r="C23" s="54">
        <v>851</v>
      </c>
      <c r="D23" s="3" t="s">
        <v>6</v>
      </c>
      <c r="E23" s="3" t="s">
        <v>18</v>
      </c>
      <c r="F23" s="3" t="s">
        <v>14</v>
      </c>
      <c r="G23" s="3" t="s">
        <v>41</v>
      </c>
      <c r="H23" s="85">
        <v>7580.4</v>
      </c>
      <c r="I23" s="85"/>
      <c r="J23" s="85">
        <v>7196.0739999999996</v>
      </c>
    </row>
    <row r="24" spans="1:10" s="1" customFormat="1" ht="27.75" hidden="1" customHeight="1" x14ac:dyDescent="0.25">
      <c r="A24" s="129" t="s">
        <v>20</v>
      </c>
      <c r="B24" s="129"/>
      <c r="C24" s="54">
        <v>851</v>
      </c>
      <c r="D24" s="3" t="s">
        <v>6</v>
      </c>
      <c r="E24" s="3" t="s">
        <v>18</v>
      </c>
      <c r="F24" s="3" t="s">
        <v>21</v>
      </c>
      <c r="G24" s="3"/>
      <c r="H24" s="85">
        <f>H25</f>
        <v>0</v>
      </c>
      <c r="I24" s="85"/>
      <c r="J24" s="85">
        <f>H24+I24</f>
        <v>0</v>
      </c>
    </row>
    <row r="25" spans="1:10" s="1" customFormat="1" ht="12.75" hidden="1" x14ac:dyDescent="0.25">
      <c r="A25" s="55"/>
      <c r="B25" s="84" t="s">
        <v>40</v>
      </c>
      <c r="C25" s="54">
        <v>851</v>
      </c>
      <c r="D25" s="3" t="s">
        <v>6</v>
      </c>
      <c r="E25" s="3" t="s">
        <v>18</v>
      </c>
      <c r="F25" s="3" t="s">
        <v>21</v>
      </c>
      <c r="G25" s="3" t="s">
        <v>41</v>
      </c>
      <c r="H25" s="85">
        <v>0</v>
      </c>
      <c r="I25" s="85"/>
      <c r="J25" s="85">
        <f>H25+I25</f>
        <v>0</v>
      </c>
    </row>
    <row r="26" spans="1:10" s="1" customFormat="1" ht="26.25" customHeight="1" x14ac:dyDescent="0.25">
      <c r="A26" s="129" t="s">
        <v>530</v>
      </c>
      <c r="B26" s="129"/>
      <c r="C26" s="54">
        <v>851</v>
      </c>
      <c r="D26" s="3" t="s">
        <v>6</v>
      </c>
      <c r="E26" s="3" t="s">
        <v>18</v>
      </c>
      <c r="F26" s="3" t="s">
        <v>21</v>
      </c>
      <c r="G26" s="3"/>
      <c r="H26" s="85">
        <f>H27</f>
        <v>21.5</v>
      </c>
      <c r="I26" s="85">
        <f>I27</f>
        <v>0</v>
      </c>
      <c r="J26" s="85">
        <f>J27</f>
        <v>21.5</v>
      </c>
    </row>
    <row r="27" spans="1:10" s="1" customFormat="1" ht="18" customHeight="1" x14ac:dyDescent="0.25">
      <c r="A27" s="55"/>
      <c r="B27" s="84" t="s">
        <v>40</v>
      </c>
      <c r="C27" s="54">
        <v>851</v>
      </c>
      <c r="D27" s="3" t="s">
        <v>6</v>
      </c>
      <c r="E27" s="3" t="s">
        <v>18</v>
      </c>
      <c r="F27" s="3" t="s">
        <v>21</v>
      </c>
      <c r="G27" s="3" t="s">
        <v>41</v>
      </c>
      <c r="H27" s="85">
        <v>21.5</v>
      </c>
      <c r="I27" s="85"/>
      <c r="J27" s="85">
        <f>H27+I27</f>
        <v>21.5</v>
      </c>
    </row>
    <row r="28" spans="1:10" s="1" customFormat="1" ht="15" customHeight="1" x14ac:dyDescent="0.25">
      <c r="A28" s="129" t="s">
        <v>531</v>
      </c>
      <c r="B28" s="129"/>
      <c r="C28" s="54">
        <v>851</v>
      </c>
      <c r="D28" s="3" t="s">
        <v>6</v>
      </c>
      <c r="E28" s="3" t="s">
        <v>18</v>
      </c>
      <c r="F28" s="3" t="s">
        <v>532</v>
      </c>
      <c r="G28" s="3"/>
      <c r="H28" s="85">
        <f>H29</f>
        <v>179</v>
      </c>
      <c r="I28" s="85">
        <f>I29</f>
        <v>0</v>
      </c>
      <c r="J28" s="85">
        <f>J29</f>
        <v>152.19999999999999</v>
      </c>
    </row>
    <row r="29" spans="1:10" s="1" customFormat="1" ht="16.5" customHeight="1" x14ac:dyDescent="0.25">
      <c r="A29" s="55"/>
      <c r="B29" s="84" t="s">
        <v>40</v>
      </c>
      <c r="C29" s="54">
        <v>851</v>
      </c>
      <c r="D29" s="3" t="s">
        <v>6</v>
      </c>
      <c r="E29" s="3" t="s">
        <v>18</v>
      </c>
      <c r="F29" s="3" t="s">
        <v>532</v>
      </c>
      <c r="G29" s="3" t="s">
        <v>41</v>
      </c>
      <c r="H29" s="85">
        <v>179</v>
      </c>
      <c r="I29" s="85"/>
      <c r="J29" s="85">
        <v>152.19999999999999</v>
      </c>
    </row>
    <row r="30" spans="1:10" s="1" customFormat="1" ht="27.75" customHeight="1" x14ac:dyDescent="0.25">
      <c r="A30" s="129" t="s">
        <v>533</v>
      </c>
      <c r="B30" s="129"/>
      <c r="C30" s="54">
        <v>851</v>
      </c>
      <c r="D30" s="3" t="s">
        <v>6</v>
      </c>
      <c r="E30" s="3" t="s">
        <v>18</v>
      </c>
      <c r="F30" s="3" t="s">
        <v>534</v>
      </c>
      <c r="G30" s="3"/>
      <c r="H30" s="85">
        <f>H31</f>
        <v>3.5</v>
      </c>
      <c r="I30" s="85">
        <f>I31</f>
        <v>0</v>
      </c>
      <c r="J30" s="85">
        <f>J31</f>
        <v>3.5</v>
      </c>
    </row>
    <row r="31" spans="1:10" s="1" customFormat="1" ht="16.5" customHeight="1" x14ac:dyDescent="0.25">
      <c r="A31" s="55"/>
      <c r="B31" s="84" t="s">
        <v>40</v>
      </c>
      <c r="C31" s="54">
        <v>851</v>
      </c>
      <c r="D31" s="3" t="s">
        <v>6</v>
      </c>
      <c r="E31" s="3" t="s">
        <v>18</v>
      </c>
      <c r="F31" s="3" t="s">
        <v>534</v>
      </c>
      <c r="G31" s="3" t="s">
        <v>41</v>
      </c>
      <c r="H31" s="85">
        <v>3.5</v>
      </c>
      <c r="I31" s="85"/>
      <c r="J31" s="85">
        <f>H31+I31</f>
        <v>3.5</v>
      </c>
    </row>
    <row r="32" spans="1:10" s="6" customFormat="1" ht="15.75" customHeight="1" x14ac:dyDescent="0.25">
      <c r="A32" s="128" t="s">
        <v>26</v>
      </c>
      <c r="B32" s="128"/>
      <c r="C32" s="50">
        <v>851</v>
      </c>
      <c r="D32" s="81" t="s">
        <v>6</v>
      </c>
      <c r="E32" s="81" t="s">
        <v>27</v>
      </c>
      <c r="F32" s="81"/>
      <c r="G32" s="81"/>
      <c r="H32" s="86">
        <f>H33</f>
        <v>94</v>
      </c>
      <c r="I32" s="86">
        <f>I33</f>
        <v>-29.5</v>
      </c>
      <c r="J32" s="86">
        <f>J33</f>
        <v>0</v>
      </c>
    </row>
    <row r="33" spans="1:10" s="1" customFormat="1" ht="15.75" customHeight="1" x14ac:dyDescent="0.25">
      <c r="A33" s="129" t="s">
        <v>26</v>
      </c>
      <c r="B33" s="129"/>
      <c r="C33" s="54">
        <v>851</v>
      </c>
      <c r="D33" s="3" t="s">
        <v>6</v>
      </c>
      <c r="E33" s="3" t="s">
        <v>27</v>
      </c>
      <c r="F33" s="3" t="s">
        <v>28</v>
      </c>
      <c r="G33" s="3"/>
      <c r="H33" s="85">
        <f>H34+H36</f>
        <v>94</v>
      </c>
      <c r="I33" s="85">
        <f>I34+I36</f>
        <v>-29.5</v>
      </c>
      <c r="J33" s="85">
        <f>J34+J36</f>
        <v>0</v>
      </c>
    </row>
    <row r="34" spans="1:10" s="1" customFormat="1" ht="15.75" customHeight="1" x14ac:dyDescent="0.25">
      <c r="A34" s="129" t="s">
        <v>29</v>
      </c>
      <c r="B34" s="129"/>
      <c r="C34" s="54">
        <v>851</v>
      </c>
      <c r="D34" s="3" t="s">
        <v>6</v>
      </c>
      <c r="E34" s="3" t="s">
        <v>27</v>
      </c>
      <c r="F34" s="3" t="s">
        <v>30</v>
      </c>
      <c r="G34" s="3"/>
      <c r="H34" s="85">
        <f>H35</f>
        <v>94</v>
      </c>
      <c r="I34" s="85">
        <f>I35</f>
        <v>-29.5</v>
      </c>
      <c r="J34" s="85">
        <f>J35</f>
        <v>0</v>
      </c>
    </row>
    <row r="35" spans="1:10" s="1" customFormat="1" ht="15.75" customHeight="1" x14ac:dyDescent="0.25">
      <c r="A35" s="55"/>
      <c r="B35" s="59" t="s">
        <v>31</v>
      </c>
      <c r="C35" s="54">
        <v>851</v>
      </c>
      <c r="D35" s="3" t="s">
        <v>6</v>
      </c>
      <c r="E35" s="3" t="s">
        <v>27</v>
      </c>
      <c r="F35" s="3" t="s">
        <v>30</v>
      </c>
      <c r="G35" s="3" t="s">
        <v>32</v>
      </c>
      <c r="H35" s="85">
        <v>94</v>
      </c>
      <c r="I35" s="85">
        <v>-29.5</v>
      </c>
      <c r="J35" s="85">
        <v>0</v>
      </c>
    </row>
    <row r="36" spans="1:10" s="1" customFormat="1" ht="15.75" hidden="1" customHeight="1" x14ac:dyDescent="0.25">
      <c r="A36" s="129" t="s">
        <v>535</v>
      </c>
      <c r="B36" s="129"/>
      <c r="C36" s="54">
        <v>851</v>
      </c>
      <c r="D36" s="3" t="s">
        <v>6</v>
      </c>
      <c r="E36" s="3" t="s">
        <v>27</v>
      </c>
      <c r="F36" s="3" t="s">
        <v>536</v>
      </c>
      <c r="G36" s="3"/>
      <c r="H36" s="85">
        <f>H37</f>
        <v>0</v>
      </c>
      <c r="I36" s="85">
        <f>I37</f>
        <v>0</v>
      </c>
      <c r="J36" s="85">
        <f>J37</f>
        <v>0</v>
      </c>
    </row>
    <row r="37" spans="1:10" s="1" customFormat="1" ht="15.75" hidden="1" customHeight="1" x14ac:dyDescent="0.25">
      <c r="A37" s="55"/>
      <c r="B37" s="59" t="s">
        <v>31</v>
      </c>
      <c r="C37" s="54">
        <v>851</v>
      </c>
      <c r="D37" s="3" t="s">
        <v>6</v>
      </c>
      <c r="E37" s="3" t="s">
        <v>27</v>
      </c>
      <c r="F37" s="3" t="s">
        <v>536</v>
      </c>
      <c r="G37" s="3" t="s">
        <v>32</v>
      </c>
      <c r="H37" s="85">
        <v>0</v>
      </c>
      <c r="I37" s="85"/>
      <c r="J37" s="85">
        <f>H37+I37</f>
        <v>0</v>
      </c>
    </row>
    <row r="38" spans="1:10" s="6" customFormat="1" ht="15.75" customHeight="1" x14ac:dyDescent="0.25">
      <c r="A38" s="128" t="s">
        <v>33</v>
      </c>
      <c r="B38" s="128"/>
      <c r="C38" s="50">
        <v>851</v>
      </c>
      <c r="D38" s="81" t="s">
        <v>6</v>
      </c>
      <c r="E38" s="81" t="s">
        <v>34</v>
      </c>
      <c r="F38" s="81"/>
      <c r="G38" s="81"/>
      <c r="H38" s="86">
        <f>H39+H42+H45+H49+H52</f>
        <v>1575.0439999999999</v>
      </c>
      <c r="I38" s="86">
        <f>I39+I42+I45+I49+I52</f>
        <v>0</v>
      </c>
      <c r="J38" s="86">
        <f>J39+J42+J45+J49+J52</f>
        <v>1587.569</v>
      </c>
    </row>
    <row r="39" spans="1:10" s="1" customFormat="1" ht="26.25" customHeight="1" x14ac:dyDescent="0.25">
      <c r="A39" s="129" t="s">
        <v>35</v>
      </c>
      <c r="B39" s="129"/>
      <c r="C39" s="54">
        <v>851</v>
      </c>
      <c r="D39" s="3" t="s">
        <v>6</v>
      </c>
      <c r="E39" s="3" t="s">
        <v>34</v>
      </c>
      <c r="F39" s="3" t="s">
        <v>36</v>
      </c>
      <c r="G39" s="3"/>
      <c r="H39" s="85">
        <f t="shared" ref="H39:J40" si="3">H40</f>
        <v>145.46600000000001</v>
      </c>
      <c r="I39" s="85">
        <f t="shared" si="3"/>
        <v>0</v>
      </c>
      <c r="J39" s="85">
        <f t="shared" si="3"/>
        <v>210.46600000000001</v>
      </c>
    </row>
    <row r="40" spans="1:10" s="1" customFormat="1" ht="26.25" customHeight="1" x14ac:dyDescent="0.25">
      <c r="A40" s="129" t="s">
        <v>37</v>
      </c>
      <c r="B40" s="129"/>
      <c r="C40" s="54">
        <v>851</v>
      </c>
      <c r="D40" s="3" t="s">
        <v>38</v>
      </c>
      <c r="E40" s="3" t="s">
        <v>34</v>
      </c>
      <c r="F40" s="3" t="s">
        <v>39</v>
      </c>
      <c r="G40" s="3"/>
      <c r="H40" s="85">
        <f t="shared" si="3"/>
        <v>145.46600000000001</v>
      </c>
      <c r="I40" s="85">
        <f t="shared" si="3"/>
        <v>0</v>
      </c>
      <c r="J40" s="85">
        <f t="shared" si="3"/>
        <v>210.46600000000001</v>
      </c>
    </row>
    <row r="41" spans="1:10" s="1" customFormat="1" ht="17.25" customHeight="1" x14ac:dyDescent="0.25">
      <c r="A41" s="84"/>
      <c r="B41" s="84" t="s">
        <v>40</v>
      </c>
      <c r="C41" s="54">
        <v>851</v>
      </c>
      <c r="D41" s="3" t="s">
        <v>6</v>
      </c>
      <c r="E41" s="3" t="s">
        <v>34</v>
      </c>
      <c r="F41" s="3" t="s">
        <v>39</v>
      </c>
      <c r="G41" s="3" t="s">
        <v>41</v>
      </c>
      <c r="H41" s="85">
        <v>145.46600000000001</v>
      </c>
      <c r="I41" s="85"/>
      <c r="J41" s="85">
        <f>H41+I41+65</f>
        <v>210.46600000000001</v>
      </c>
    </row>
    <row r="42" spans="1:10" s="1" customFormat="1" ht="14.25" customHeight="1" x14ac:dyDescent="0.25">
      <c r="A42" s="129" t="s">
        <v>537</v>
      </c>
      <c r="B42" s="129"/>
      <c r="C42" s="54">
        <v>851</v>
      </c>
      <c r="D42" s="3" t="s">
        <v>6</v>
      </c>
      <c r="E42" s="3" t="s">
        <v>34</v>
      </c>
      <c r="F42" s="3" t="s">
        <v>54</v>
      </c>
      <c r="G42" s="87"/>
      <c r="H42" s="85">
        <f t="shared" ref="H42:J43" si="4">H43</f>
        <v>159.578</v>
      </c>
      <c r="I42" s="85">
        <f t="shared" si="4"/>
        <v>0</v>
      </c>
      <c r="J42" s="85">
        <f t="shared" si="4"/>
        <v>159.578</v>
      </c>
    </row>
    <row r="43" spans="1:10" s="1" customFormat="1" ht="15.75" customHeight="1" x14ac:dyDescent="0.25">
      <c r="A43" s="129" t="s">
        <v>538</v>
      </c>
      <c r="B43" s="129"/>
      <c r="C43" s="54">
        <v>851</v>
      </c>
      <c r="D43" s="3" t="s">
        <v>6</v>
      </c>
      <c r="E43" s="3" t="s">
        <v>34</v>
      </c>
      <c r="F43" s="3" t="s">
        <v>539</v>
      </c>
      <c r="G43" s="78"/>
      <c r="H43" s="85">
        <f t="shared" si="4"/>
        <v>159.578</v>
      </c>
      <c r="I43" s="85">
        <f t="shared" si="4"/>
        <v>0</v>
      </c>
      <c r="J43" s="85">
        <f t="shared" si="4"/>
        <v>159.578</v>
      </c>
    </row>
    <row r="44" spans="1:10" s="1" customFormat="1" ht="12.75" x14ac:dyDescent="0.25">
      <c r="A44" s="55"/>
      <c r="B44" s="84" t="s">
        <v>40</v>
      </c>
      <c r="C44" s="54">
        <v>851</v>
      </c>
      <c r="D44" s="3" t="s">
        <v>6</v>
      </c>
      <c r="E44" s="3" t="s">
        <v>34</v>
      </c>
      <c r="F44" s="3" t="s">
        <v>539</v>
      </c>
      <c r="G44" s="3" t="s">
        <v>41</v>
      </c>
      <c r="H44" s="85">
        <v>159.578</v>
      </c>
      <c r="I44" s="85"/>
      <c r="J44" s="85">
        <f>H44+I44</f>
        <v>159.578</v>
      </c>
    </row>
    <row r="45" spans="1:10" s="10" customFormat="1" ht="15" customHeight="1" x14ac:dyDescent="0.25">
      <c r="A45" s="129" t="s">
        <v>275</v>
      </c>
      <c r="B45" s="129"/>
      <c r="C45" s="54">
        <v>851</v>
      </c>
      <c r="D45" s="3" t="s">
        <v>6</v>
      </c>
      <c r="E45" s="3" t="s">
        <v>34</v>
      </c>
      <c r="F45" s="3" t="s">
        <v>540</v>
      </c>
      <c r="G45" s="78"/>
      <c r="H45" s="85">
        <f>H46</f>
        <v>235</v>
      </c>
      <c r="I45" s="85">
        <f t="shared" ref="I45:J47" si="5">I46</f>
        <v>0</v>
      </c>
      <c r="J45" s="85">
        <f t="shared" si="5"/>
        <v>235</v>
      </c>
    </row>
    <row r="46" spans="1:10" s="1" customFormat="1" ht="53.25" customHeight="1" x14ac:dyDescent="0.25">
      <c r="A46" s="129" t="s">
        <v>541</v>
      </c>
      <c r="B46" s="129"/>
      <c r="C46" s="54">
        <v>851</v>
      </c>
      <c r="D46" s="88" t="s">
        <v>6</v>
      </c>
      <c r="E46" s="88" t="s">
        <v>34</v>
      </c>
      <c r="F46" s="3" t="s">
        <v>542</v>
      </c>
      <c r="G46" s="89"/>
      <c r="H46" s="85">
        <f>H47</f>
        <v>235</v>
      </c>
      <c r="I46" s="85">
        <f t="shared" si="5"/>
        <v>0</v>
      </c>
      <c r="J46" s="85">
        <f t="shared" si="5"/>
        <v>235</v>
      </c>
    </row>
    <row r="47" spans="1:10" s="1" customFormat="1" ht="16.5" customHeight="1" x14ac:dyDescent="0.25">
      <c r="A47" s="129" t="s">
        <v>543</v>
      </c>
      <c r="B47" s="129"/>
      <c r="C47" s="54">
        <v>851</v>
      </c>
      <c r="D47" s="88" t="s">
        <v>6</v>
      </c>
      <c r="E47" s="88" t="s">
        <v>34</v>
      </c>
      <c r="F47" s="3" t="s">
        <v>544</v>
      </c>
      <c r="G47" s="88"/>
      <c r="H47" s="85">
        <f>H48</f>
        <v>235</v>
      </c>
      <c r="I47" s="85">
        <f t="shared" si="5"/>
        <v>0</v>
      </c>
      <c r="J47" s="85">
        <f t="shared" si="5"/>
        <v>235</v>
      </c>
    </row>
    <row r="48" spans="1:10" s="1" customFormat="1" ht="18.75" customHeight="1" x14ac:dyDescent="0.25">
      <c r="A48" s="55"/>
      <c r="B48" s="84" t="s">
        <v>40</v>
      </c>
      <c r="C48" s="54">
        <v>851</v>
      </c>
      <c r="D48" s="3" t="s">
        <v>6</v>
      </c>
      <c r="E48" s="3" t="s">
        <v>34</v>
      </c>
      <c r="F48" s="3" t="s">
        <v>544</v>
      </c>
      <c r="G48" s="3" t="s">
        <v>41</v>
      </c>
      <c r="H48" s="85">
        <v>235</v>
      </c>
      <c r="I48" s="85"/>
      <c r="J48" s="85">
        <f>H48+I48</f>
        <v>235</v>
      </c>
    </row>
    <row r="49" spans="1:10" s="1" customFormat="1" ht="15.75" customHeight="1" x14ac:dyDescent="0.25">
      <c r="A49" s="129" t="s">
        <v>621</v>
      </c>
      <c r="B49" s="129"/>
      <c r="C49" s="54">
        <v>851</v>
      </c>
      <c r="D49" s="3" t="s">
        <v>6</v>
      </c>
      <c r="E49" s="3" t="s">
        <v>34</v>
      </c>
      <c r="F49" s="3" t="s">
        <v>47</v>
      </c>
      <c r="G49" s="3"/>
      <c r="H49" s="85">
        <f t="shared" ref="H49:J50" si="6">H50</f>
        <v>745</v>
      </c>
      <c r="I49" s="85">
        <f t="shared" si="6"/>
        <v>0</v>
      </c>
      <c r="J49" s="85">
        <f t="shared" si="6"/>
        <v>707.22799999999995</v>
      </c>
    </row>
    <row r="50" spans="1:10" s="9" customFormat="1" ht="28.5" customHeight="1" x14ac:dyDescent="0.25">
      <c r="A50" s="84"/>
      <c r="B50" s="59" t="s">
        <v>48</v>
      </c>
      <c r="C50" s="54">
        <v>851</v>
      </c>
      <c r="D50" s="3" t="s">
        <v>6</v>
      </c>
      <c r="E50" s="3" t="s">
        <v>34</v>
      </c>
      <c r="F50" s="3" t="s">
        <v>49</v>
      </c>
      <c r="G50" s="3"/>
      <c r="H50" s="85">
        <f t="shared" si="6"/>
        <v>745</v>
      </c>
      <c r="I50" s="85">
        <f t="shared" si="6"/>
        <v>0</v>
      </c>
      <c r="J50" s="85">
        <f t="shared" si="6"/>
        <v>707.22799999999995</v>
      </c>
    </row>
    <row r="51" spans="1:10" s="1" customFormat="1" ht="15.75" customHeight="1" x14ac:dyDescent="0.25">
      <c r="A51" s="55"/>
      <c r="B51" s="59" t="s">
        <v>31</v>
      </c>
      <c r="C51" s="54">
        <v>851</v>
      </c>
      <c r="D51" s="3" t="s">
        <v>6</v>
      </c>
      <c r="E51" s="3" t="s">
        <v>34</v>
      </c>
      <c r="F51" s="3" t="s">
        <v>49</v>
      </c>
      <c r="G51" s="3" t="s">
        <v>32</v>
      </c>
      <c r="H51" s="85">
        <v>745</v>
      </c>
      <c r="I51" s="85"/>
      <c r="J51" s="85">
        <v>707.22799999999995</v>
      </c>
    </row>
    <row r="52" spans="1:10" s="9" customFormat="1" ht="15.75" customHeight="1" x14ac:dyDescent="0.25">
      <c r="A52" s="129" t="s">
        <v>545</v>
      </c>
      <c r="B52" s="129"/>
      <c r="C52" s="54">
        <v>851</v>
      </c>
      <c r="D52" s="3" t="s">
        <v>6</v>
      </c>
      <c r="E52" s="3" t="s">
        <v>34</v>
      </c>
      <c r="F52" s="3" t="s">
        <v>244</v>
      </c>
      <c r="G52" s="3"/>
      <c r="H52" s="85">
        <f t="shared" ref="H52:J53" si="7">H53</f>
        <v>290</v>
      </c>
      <c r="I52" s="85">
        <f t="shared" si="7"/>
        <v>0</v>
      </c>
      <c r="J52" s="85">
        <f t="shared" si="7"/>
        <v>275.29700000000003</v>
      </c>
    </row>
    <row r="53" spans="1:10" s="9" customFormat="1" ht="51" customHeight="1" x14ac:dyDescent="0.25">
      <c r="A53" s="84"/>
      <c r="B53" s="59" t="s">
        <v>546</v>
      </c>
      <c r="C53" s="54">
        <v>851</v>
      </c>
      <c r="D53" s="3" t="s">
        <v>6</v>
      </c>
      <c r="E53" s="3" t="s">
        <v>34</v>
      </c>
      <c r="F53" s="3" t="s">
        <v>547</v>
      </c>
      <c r="G53" s="3"/>
      <c r="H53" s="85">
        <f t="shared" si="7"/>
        <v>290</v>
      </c>
      <c r="I53" s="85">
        <f t="shared" si="7"/>
        <v>0</v>
      </c>
      <c r="J53" s="85">
        <f t="shared" si="7"/>
        <v>275.29700000000003</v>
      </c>
    </row>
    <row r="54" spans="1:10" s="1" customFormat="1" ht="15.75" customHeight="1" x14ac:dyDescent="0.25">
      <c r="A54" s="55"/>
      <c r="B54" s="59" t="s">
        <v>31</v>
      </c>
      <c r="C54" s="54">
        <v>851</v>
      </c>
      <c r="D54" s="3" t="s">
        <v>6</v>
      </c>
      <c r="E54" s="3" t="s">
        <v>34</v>
      </c>
      <c r="F54" s="3" t="s">
        <v>547</v>
      </c>
      <c r="G54" s="3" t="s">
        <v>32</v>
      </c>
      <c r="H54" s="85">
        <v>290</v>
      </c>
      <c r="I54" s="85"/>
      <c r="J54" s="85">
        <v>275.29700000000003</v>
      </c>
    </row>
    <row r="55" spans="1:10" s="6" customFormat="1" ht="15.75" customHeight="1" x14ac:dyDescent="0.25">
      <c r="A55" s="128" t="s">
        <v>59</v>
      </c>
      <c r="B55" s="128"/>
      <c r="C55" s="50">
        <v>851</v>
      </c>
      <c r="D55" s="81" t="s">
        <v>8</v>
      </c>
      <c r="E55" s="81"/>
      <c r="F55" s="81"/>
      <c r="G55" s="81"/>
      <c r="H55" s="86">
        <f>H56+H60</f>
        <v>496.8</v>
      </c>
      <c r="I55" s="86">
        <f>I56+I60</f>
        <v>0</v>
      </c>
      <c r="J55" s="86">
        <f>J56+J60</f>
        <v>448.51299999999998</v>
      </c>
    </row>
    <row r="56" spans="1:10" s="39" customFormat="1" ht="15.75" customHeight="1" x14ac:dyDescent="0.25">
      <c r="A56" s="133" t="s">
        <v>60</v>
      </c>
      <c r="B56" s="133"/>
      <c r="C56" s="50">
        <v>851</v>
      </c>
      <c r="D56" s="81" t="s">
        <v>8</v>
      </c>
      <c r="E56" s="81" t="s">
        <v>51</v>
      </c>
      <c r="F56" s="81"/>
      <c r="G56" s="81"/>
      <c r="H56" s="86">
        <f>H57</f>
        <v>10</v>
      </c>
      <c r="I56" s="86">
        <f t="shared" ref="I56:J58" si="8">I57</f>
        <v>0</v>
      </c>
      <c r="J56" s="86">
        <f t="shared" si="8"/>
        <v>10</v>
      </c>
    </row>
    <row r="57" spans="1:10" s="9" customFormat="1" ht="15.75" customHeight="1" x14ac:dyDescent="0.25">
      <c r="A57" s="129" t="s">
        <v>545</v>
      </c>
      <c r="B57" s="129"/>
      <c r="C57" s="54">
        <v>851</v>
      </c>
      <c r="D57" s="3" t="s">
        <v>8</v>
      </c>
      <c r="E57" s="3" t="s">
        <v>51</v>
      </c>
      <c r="F57" s="3" t="s">
        <v>244</v>
      </c>
      <c r="G57" s="3"/>
      <c r="H57" s="85">
        <f>H58</f>
        <v>10</v>
      </c>
      <c r="I57" s="85">
        <f t="shared" si="8"/>
        <v>0</v>
      </c>
      <c r="J57" s="85">
        <f t="shared" si="8"/>
        <v>10</v>
      </c>
    </row>
    <row r="58" spans="1:10" s="9" customFormat="1" ht="39.75" customHeight="1" x14ac:dyDescent="0.25">
      <c r="A58" s="129" t="s">
        <v>551</v>
      </c>
      <c r="B58" s="129"/>
      <c r="C58" s="54">
        <v>851</v>
      </c>
      <c r="D58" s="3" t="s">
        <v>8</v>
      </c>
      <c r="E58" s="3" t="s">
        <v>51</v>
      </c>
      <c r="F58" s="3" t="s">
        <v>552</v>
      </c>
      <c r="G58" s="3"/>
      <c r="H58" s="85">
        <f>H59</f>
        <v>10</v>
      </c>
      <c r="I58" s="85">
        <f t="shared" si="8"/>
        <v>0</v>
      </c>
      <c r="J58" s="85">
        <f t="shared" si="8"/>
        <v>10</v>
      </c>
    </row>
    <row r="59" spans="1:10" s="9" customFormat="1" ht="29.25" customHeight="1" x14ac:dyDescent="0.25">
      <c r="A59" s="55"/>
      <c r="B59" s="59" t="s">
        <v>61</v>
      </c>
      <c r="C59" s="54">
        <v>851</v>
      </c>
      <c r="D59" s="88" t="s">
        <v>8</v>
      </c>
      <c r="E59" s="3" t="s">
        <v>51</v>
      </c>
      <c r="F59" s="3" t="s">
        <v>552</v>
      </c>
      <c r="G59" s="3" t="s">
        <v>62</v>
      </c>
      <c r="H59" s="85">
        <v>10</v>
      </c>
      <c r="I59" s="85"/>
      <c r="J59" s="85">
        <f>H59+I59</f>
        <v>10</v>
      </c>
    </row>
    <row r="60" spans="1:10" s="6" customFormat="1" ht="30" customHeight="1" x14ac:dyDescent="0.25">
      <c r="A60" s="128" t="s">
        <v>63</v>
      </c>
      <c r="B60" s="128"/>
      <c r="C60" s="50">
        <v>851</v>
      </c>
      <c r="D60" s="81" t="s">
        <v>8</v>
      </c>
      <c r="E60" s="81" t="s">
        <v>64</v>
      </c>
      <c r="F60" s="81"/>
      <c r="G60" s="81"/>
      <c r="H60" s="86">
        <f>H61+H64</f>
        <v>486.8</v>
      </c>
      <c r="I60" s="86">
        <f>I61+I64</f>
        <v>0</v>
      </c>
      <c r="J60" s="86">
        <f>J61+J64</f>
        <v>438.51299999999998</v>
      </c>
    </row>
    <row r="61" spans="1:10" s="1" customFormat="1" ht="15.75" hidden="1" customHeight="1" x14ac:dyDescent="0.25">
      <c r="A61" s="137" t="s">
        <v>26</v>
      </c>
      <c r="B61" s="138"/>
      <c r="C61" s="54">
        <v>851</v>
      </c>
      <c r="D61" s="3" t="s">
        <v>8</v>
      </c>
      <c r="E61" s="3" t="s">
        <v>64</v>
      </c>
      <c r="F61" s="3" t="s">
        <v>28</v>
      </c>
      <c r="G61" s="3"/>
      <c r="H61" s="85">
        <f t="shared" ref="H61:J62" si="9">H62</f>
        <v>0</v>
      </c>
      <c r="I61" s="85">
        <f t="shared" si="9"/>
        <v>0</v>
      </c>
      <c r="J61" s="85">
        <f t="shared" si="9"/>
        <v>0</v>
      </c>
    </row>
    <row r="62" spans="1:10" s="1" customFormat="1" ht="15.75" hidden="1" customHeight="1" x14ac:dyDescent="0.25">
      <c r="A62" s="137" t="s">
        <v>65</v>
      </c>
      <c r="B62" s="138"/>
      <c r="C62" s="54">
        <v>851</v>
      </c>
      <c r="D62" s="3" t="s">
        <v>8</v>
      </c>
      <c r="E62" s="3" t="s">
        <v>64</v>
      </c>
      <c r="F62" s="3" t="s">
        <v>66</v>
      </c>
      <c r="G62" s="3"/>
      <c r="H62" s="85">
        <f t="shared" si="9"/>
        <v>0</v>
      </c>
      <c r="I62" s="85">
        <f t="shared" si="9"/>
        <v>0</v>
      </c>
      <c r="J62" s="85">
        <f t="shared" si="9"/>
        <v>0</v>
      </c>
    </row>
    <row r="63" spans="1:10" s="1" customFormat="1" ht="15.75" hidden="1" customHeight="1" x14ac:dyDescent="0.25">
      <c r="A63" s="55"/>
      <c r="B63" s="59" t="s">
        <v>31</v>
      </c>
      <c r="C63" s="54">
        <v>851</v>
      </c>
      <c r="D63" s="3" t="s">
        <v>8</v>
      </c>
      <c r="E63" s="3" t="s">
        <v>64</v>
      </c>
      <c r="F63" s="3" t="s">
        <v>66</v>
      </c>
      <c r="G63" s="3" t="s">
        <v>32</v>
      </c>
      <c r="H63" s="85"/>
      <c r="I63" s="85"/>
      <c r="J63" s="85"/>
    </row>
    <row r="64" spans="1:10" s="1" customFormat="1" ht="15" customHeight="1" x14ac:dyDescent="0.25">
      <c r="A64" s="129" t="s">
        <v>67</v>
      </c>
      <c r="B64" s="129"/>
      <c r="C64" s="54">
        <v>851</v>
      </c>
      <c r="D64" s="3" t="s">
        <v>8</v>
      </c>
      <c r="E64" s="3" t="s">
        <v>64</v>
      </c>
      <c r="F64" s="3" t="s">
        <v>68</v>
      </c>
      <c r="G64" s="3"/>
      <c r="H64" s="85">
        <f>H65</f>
        <v>486.8</v>
      </c>
      <c r="I64" s="85">
        <f>I65</f>
        <v>0</v>
      </c>
      <c r="J64" s="85">
        <f>J65</f>
        <v>438.51299999999998</v>
      </c>
    </row>
    <row r="65" spans="1:10" s="1" customFormat="1" ht="27" customHeight="1" x14ac:dyDescent="0.25">
      <c r="A65" s="129" t="s">
        <v>69</v>
      </c>
      <c r="B65" s="129"/>
      <c r="C65" s="54">
        <v>851</v>
      </c>
      <c r="D65" s="3" t="s">
        <v>8</v>
      </c>
      <c r="E65" s="3" t="s">
        <v>64</v>
      </c>
      <c r="F65" s="3" t="s">
        <v>70</v>
      </c>
      <c r="G65" s="3"/>
      <c r="H65" s="85">
        <f>H66+H68</f>
        <v>486.8</v>
      </c>
      <c r="I65" s="85">
        <f>I66+I68</f>
        <v>0</v>
      </c>
      <c r="J65" s="85">
        <f>J66+J68</f>
        <v>438.51299999999998</v>
      </c>
    </row>
    <row r="66" spans="1:10" s="1" customFormat="1" ht="27" customHeight="1" x14ac:dyDescent="0.25">
      <c r="A66" s="137" t="s">
        <v>553</v>
      </c>
      <c r="B66" s="138"/>
      <c r="C66" s="54">
        <v>851</v>
      </c>
      <c r="D66" s="3" t="s">
        <v>8</v>
      </c>
      <c r="E66" s="3" t="s">
        <v>64</v>
      </c>
      <c r="F66" s="3" t="s">
        <v>554</v>
      </c>
      <c r="G66" s="3"/>
      <c r="H66" s="85">
        <f>H67</f>
        <v>484.3</v>
      </c>
      <c r="I66" s="85">
        <f>I67</f>
        <v>0</v>
      </c>
      <c r="J66" s="85">
        <f>J67</f>
        <v>436.01299999999998</v>
      </c>
    </row>
    <row r="67" spans="1:10" s="1" customFormat="1" ht="27.75" customHeight="1" x14ac:dyDescent="0.25">
      <c r="A67" s="55"/>
      <c r="B67" s="59" t="s">
        <v>61</v>
      </c>
      <c r="C67" s="54">
        <v>851</v>
      </c>
      <c r="D67" s="88" t="s">
        <v>8</v>
      </c>
      <c r="E67" s="3" t="s">
        <v>64</v>
      </c>
      <c r="F67" s="3" t="s">
        <v>554</v>
      </c>
      <c r="G67" s="3" t="s">
        <v>62</v>
      </c>
      <c r="H67" s="85">
        <v>484.3</v>
      </c>
      <c r="I67" s="85"/>
      <c r="J67" s="85">
        <v>436.01299999999998</v>
      </c>
    </row>
    <row r="68" spans="1:10" s="1" customFormat="1" ht="40.5" customHeight="1" x14ac:dyDescent="0.25">
      <c r="A68" s="129" t="s">
        <v>555</v>
      </c>
      <c r="B68" s="129"/>
      <c r="C68" s="54">
        <v>851</v>
      </c>
      <c r="D68" s="88" t="s">
        <v>8</v>
      </c>
      <c r="E68" s="3" t="s">
        <v>64</v>
      </c>
      <c r="F68" s="3" t="s">
        <v>556</v>
      </c>
      <c r="G68" s="3"/>
      <c r="H68" s="85">
        <f>H69</f>
        <v>2.5</v>
      </c>
      <c r="I68" s="85">
        <f>I69</f>
        <v>0</v>
      </c>
      <c r="J68" s="85">
        <f>J69</f>
        <v>2.5</v>
      </c>
    </row>
    <row r="69" spans="1:10" s="1" customFormat="1" ht="27.75" customHeight="1" x14ac:dyDescent="0.25">
      <c r="A69" s="55"/>
      <c r="B69" s="59" t="s">
        <v>61</v>
      </c>
      <c r="C69" s="54">
        <v>851</v>
      </c>
      <c r="D69" s="88" t="s">
        <v>8</v>
      </c>
      <c r="E69" s="3" t="s">
        <v>64</v>
      </c>
      <c r="F69" s="3" t="s">
        <v>556</v>
      </c>
      <c r="G69" s="3" t="s">
        <v>62</v>
      </c>
      <c r="H69" s="85">
        <v>2.5</v>
      </c>
      <c r="I69" s="85"/>
      <c r="J69" s="85">
        <f>H69+I69</f>
        <v>2.5</v>
      </c>
    </row>
    <row r="70" spans="1:10" s="6" customFormat="1" ht="16.5" customHeight="1" x14ac:dyDescent="0.25">
      <c r="A70" s="128" t="s">
        <v>71</v>
      </c>
      <c r="B70" s="128"/>
      <c r="C70" s="50">
        <v>851</v>
      </c>
      <c r="D70" s="81" t="s">
        <v>18</v>
      </c>
      <c r="E70" s="81"/>
      <c r="F70" s="81"/>
      <c r="G70" s="81"/>
      <c r="H70" s="86">
        <f>H78+H89+H101</f>
        <v>842.5</v>
      </c>
      <c r="I70" s="86">
        <f>I78+I89+I101</f>
        <v>578.85300000000007</v>
      </c>
      <c r="J70" s="86">
        <f>J78+J89+J101</f>
        <v>1398.0530000000001</v>
      </c>
    </row>
    <row r="71" spans="1:10" s="1" customFormat="1" ht="15" hidden="1" customHeight="1" x14ac:dyDescent="0.25">
      <c r="A71" s="129" t="s">
        <v>72</v>
      </c>
      <c r="B71" s="129"/>
      <c r="C71" s="54">
        <v>851</v>
      </c>
      <c r="D71" s="3" t="s">
        <v>18</v>
      </c>
      <c r="E71" s="3" t="s">
        <v>6</v>
      </c>
      <c r="F71" s="3"/>
      <c r="G71" s="3"/>
      <c r="H71" s="85">
        <f t="shared" ref="H71:J72" si="10">H72</f>
        <v>0</v>
      </c>
      <c r="I71" s="85">
        <f t="shared" si="10"/>
        <v>1</v>
      </c>
      <c r="J71" s="85">
        <f t="shared" si="10"/>
        <v>2</v>
      </c>
    </row>
    <row r="72" spans="1:10" s="1" customFormat="1" ht="12.75" hidden="1" customHeight="1" x14ac:dyDescent="0.25">
      <c r="A72" s="129" t="s">
        <v>73</v>
      </c>
      <c r="B72" s="129"/>
      <c r="C72" s="54">
        <v>851</v>
      </c>
      <c r="D72" s="3" t="s">
        <v>18</v>
      </c>
      <c r="E72" s="3" t="s">
        <v>6</v>
      </c>
      <c r="F72" s="3" t="s">
        <v>74</v>
      </c>
      <c r="G72" s="3"/>
      <c r="H72" s="85">
        <f t="shared" si="10"/>
        <v>0</v>
      </c>
      <c r="I72" s="85">
        <f t="shared" si="10"/>
        <v>1</v>
      </c>
      <c r="J72" s="85">
        <f t="shared" si="10"/>
        <v>2</v>
      </c>
    </row>
    <row r="73" spans="1:10" s="1" customFormat="1" ht="33.75" hidden="1" customHeight="1" x14ac:dyDescent="0.25">
      <c r="A73" s="129" t="s">
        <v>75</v>
      </c>
      <c r="B73" s="129"/>
      <c r="C73" s="54">
        <v>851</v>
      </c>
      <c r="D73" s="3" t="s">
        <v>18</v>
      </c>
      <c r="E73" s="3" t="s">
        <v>6</v>
      </c>
      <c r="F73" s="3" t="s">
        <v>76</v>
      </c>
      <c r="G73" s="3"/>
      <c r="H73" s="85">
        <f>H74+H76</f>
        <v>0</v>
      </c>
      <c r="I73" s="85">
        <f>I74+I76</f>
        <v>1</v>
      </c>
      <c r="J73" s="85">
        <f>J74+J76</f>
        <v>2</v>
      </c>
    </row>
    <row r="74" spans="1:10" s="1" customFormat="1" ht="41.25" hidden="1" customHeight="1" x14ac:dyDescent="0.25">
      <c r="A74" s="129" t="s">
        <v>77</v>
      </c>
      <c r="B74" s="129"/>
      <c r="C74" s="54">
        <v>851</v>
      </c>
      <c r="D74" s="3" t="s">
        <v>18</v>
      </c>
      <c r="E74" s="3" t="s">
        <v>6</v>
      </c>
      <c r="F74" s="3" t="s">
        <v>78</v>
      </c>
      <c r="G74" s="3"/>
      <c r="H74" s="85">
        <f>H75</f>
        <v>0</v>
      </c>
      <c r="I74" s="85">
        <f>I75</f>
        <v>1</v>
      </c>
      <c r="J74" s="85">
        <f>J75</f>
        <v>2</v>
      </c>
    </row>
    <row r="75" spans="1:10" s="1" customFormat="1" ht="15.75" hidden="1" customHeight="1" x14ac:dyDescent="0.25">
      <c r="A75" s="55"/>
      <c r="B75" s="59" t="s">
        <v>31</v>
      </c>
      <c r="C75" s="54">
        <v>851</v>
      </c>
      <c r="D75" s="3" t="s">
        <v>18</v>
      </c>
      <c r="E75" s="3" t="s">
        <v>6</v>
      </c>
      <c r="F75" s="3" t="s">
        <v>78</v>
      </c>
      <c r="G75" s="3" t="s">
        <v>32</v>
      </c>
      <c r="H75" s="85">
        <v>0</v>
      </c>
      <c r="I75" s="85">
        <v>1</v>
      </c>
      <c r="J75" s="85">
        <v>2</v>
      </c>
    </row>
    <row r="76" spans="1:10" s="1" customFormat="1" ht="51.75" hidden="1" customHeight="1" x14ac:dyDescent="0.25">
      <c r="A76" s="129" t="s">
        <v>79</v>
      </c>
      <c r="B76" s="129"/>
      <c r="C76" s="54">
        <v>851</v>
      </c>
      <c r="D76" s="3" t="s">
        <v>18</v>
      </c>
      <c r="E76" s="3" t="s">
        <v>6</v>
      </c>
      <c r="F76" s="3" t="s">
        <v>80</v>
      </c>
      <c r="G76" s="3"/>
      <c r="H76" s="85">
        <f>H77</f>
        <v>0</v>
      </c>
      <c r="I76" s="85">
        <f>I77</f>
        <v>0</v>
      </c>
      <c r="J76" s="85">
        <f>J77</f>
        <v>0</v>
      </c>
    </row>
    <row r="77" spans="1:10" s="1" customFormat="1" ht="15.75" hidden="1" customHeight="1" x14ac:dyDescent="0.25">
      <c r="A77" s="55"/>
      <c r="B77" s="59" t="s">
        <v>31</v>
      </c>
      <c r="C77" s="54">
        <v>851</v>
      </c>
      <c r="D77" s="3" t="s">
        <v>18</v>
      </c>
      <c r="E77" s="3" t="s">
        <v>6</v>
      </c>
      <c r="F77" s="3" t="s">
        <v>80</v>
      </c>
      <c r="G77" s="3" t="s">
        <v>32</v>
      </c>
      <c r="H77" s="85"/>
      <c r="I77" s="85"/>
      <c r="J77" s="85"/>
    </row>
    <row r="78" spans="1:10" s="6" customFormat="1" ht="15" customHeight="1" x14ac:dyDescent="0.25">
      <c r="A78" s="128" t="s">
        <v>81</v>
      </c>
      <c r="B78" s="128"/>
      <c r="C78" s="50">
        <v>851</v>
      </c>
      <c r="D78" s="81" t="s">
        <v>18</v>
      </c>
      <c r="E78" s="81" t="s">
        <v>82</v>
      </c>
      <c r="F78" s="81"/>
      <c r="G78" s="81"/>
      <c r="H78" s="86">
        <f>H79+H84</f>
        <v>715</v>
      </c>
      <c r="I78" s="86">
        <f>I79+I84</f>
        <v>527.15300000000002</v>
      </c>
      <c r="J78" s="86">
        <f>J79+J84</f>
        <v>1218.8530000000001</v>
      </c>
    </row>
    <row r="79" spans="1:10" s="1" customFormat="1" ht="15.75" customHeight="1" x14ac:dyDescent="0.25">
      <c r="A79" s="129" t="s">
        <v>26</v>
      </c>
      <c r="B79" s="129"/>
      <c r="C79" s="54">
        <v>851</v>
      </c>
      <c r="D79" s="3" t="s">
        <v>18</v>
      </c>
      <c r="E79" s="3" t="s">
        <v>82</v>
      </c>
      <c r="F79" s="3" t="s">
        <v>28</v>
      </c>
      <c r="G79" s="3"/>
      <c r="H79" s="85">
        <f>H80+H82</f>
        <v>0</v>
      </c>
      <c r="I79" s="85">
        <f>I80+I82</f>
        <v>573.75300000000004</v>
      </c>
      <c r="J79" s="85">
        <f>J80+J82</f>
        <v>573.75300000000004</v>
      </c>
    </row>
    <row r="80" spans="1:10" s="1" customFormat="1" ht="25.5" customHeight="1" x14ac:dyDescent="0.25">
      <c r="A80" s="129" t="s">
        <v>557</v>
      </c>
      <c r="B80" s="129"/>
      <c r="C80" s="54">
        <v>851</v>
      </c>
      <c r="D80" s="3" t="s">
        <v>18</v>
      </c>
      <c r="E80" s="3" t="s">
        <v>82</v>
      </c>
      <c r="F80" s="3" t="s">
        <v>558</v>
      </c>
      <c r="G80" s="3"/>
      <c r="H80" s="85">
        <f>H81</f>
        <v>0</v>
      </c>
      <c r="I80" s="85">
        <f>I81</f>
        <v>568.75300000000004</v>
      </c>
      <c r="J80" s="85">
        <f>J81</f>
        <v>568.75300000000004</v>
      </c>
    </row>
    <row r="81" spans="1:10" s="1" customFormat="1" ht="15.75" customHeight="1" x14ac:dyDescent="0.25">
      <c r="A81" s="55"/>
      <c r="B81" s="59" t="s">
        <v>31</v>
      </c>
      <c r="C81" s="54">
        <v>851</v>
      </c>
      <c r="D81" s="3" t="s">
        <v>18</v>
      </c>
      <c r="E81" s="3" t="s">
        <v>82</v>
      </c>
      <c r="F81" s="3" t="s">
        <v>558</v>
      </c>
      <c r="G81" s="3" t="s">
        <v>32</v>
      </c>
      <c r="H81" s="85"/>
      <c r="I81" s="85">
        <v>568.75300000000004</v>
      </c>
      <c r="J81" s="85">
        <f>I81+H81</f>
        <v>568.75300000000004</v>
      </c>
    </row>
    <row r="82" spans="1:10" s="1" customFormat="1" ht="15.75" customHeight="1" x14ac:dyDescent="0.25">
      <c r="A82" s="129" t="s">
        <v>29</v>
      </c>
      <c r="B82" s="129"/>
      <c r="C82" s="54">
        <v>851</v>
      </c>
      <c r="D82" s="3" t="s">
        <v>18</v>
      </c>
      <c r="E82" s="3" t="s">
        <v>82</v>
      </c>
      <c r="F82" s="3" t="s">
        <v>30</v>
      </c>
      <c r="G82" s="3"/>
      <c r="H82" s="85">
        <f>H83</f>
        <v>0</v>
      </c>
      <c r="I82" s="85">
        <f>I83</f>
        <v>5</v>
      </c>
      <c r="J82" s="85">
        <f>J83</f>
        <v>5</v>
      </c>
    </row>
    <row r="83" spans="1:10" s="1" customFormat="1" ht="15.75" customHeight="1" x14ac:dyDescent="0.25">
      <c r="A83" s="55"/>
      <c r="B83" s="59" t="s">
        <v>31</v>
      </c>
      <c r="C83" s="54">
        <v>851</v>
      </c>
      <c r="D83" s="3" t="s">
        <v>18</v>
      </c>
      <c r="E83" s="3" t="s">
        <v>82</v>
      </c>
      <c r="F83" s="3" t="s">
        <v>30</v>
      </c>
      <c r="G83" s="3" t="s">
        <v>32</v>
      </c>
      <c r="H83" s="85"/>
      <c r="I83" s="85">
        <f>5</f>
        <v>5</v>
      </c>
      <c r="J83" s="85">
        <f>H83+I83</f>
        <v>5</v>
      </c>
    </row>
    <row r="84" spans="1:10" s="1" customFormat="1" ht="15.75" customHeight="1" x14ac:dyDescent="0.25">
      <c r="A84" s="129" t="s">
        <v>545</v>
      </c>
      <c r="B84" s="129"/>
      <c r="C84" s="54">
        <v>851</v>
      </c>
      <c r="D84" s="3" t="s">
        <v>18</v>
      </c>
      <c r="E84" s="3" t="s">
        <v>82</v>
      </c>
      <c r="F84" s="3" t="s">
        <v>244</v>
      </c>
      <c r="G84" s="3"/>
      <c r="H84" s="85">
        <f>H85+H87</f>
        <v>715</v>
      </c>
      <c r="I84" s="85">
        <f>I85+I87</f>
        <v>-46.6</v>
      </c>
      <c r="J84" s="85">
        <f>J85+J87</f>
        <v>645.1</v>
      </c>
    </row>
    <row r="85" spans="1:10" s="1" customFormat="1" ht="27" customHeight="1" x14ac:dyDescent="0.25">
      <c r="A85" s="129" t="s">
        <v>559</v>
      </c>
      <c r="B85" s="129"/>
      <c r="C85" s="54">
        <v>851</v>
      </c>
      <c r="D85" s="3" t="s">
        <v>18</v>
      </c>
      <c r="E85" s="3" t="s">
        <v>82</v>
      </c>
      <c r="F85" s="3" t="s">
        <v>560</v>
      </c>
      <c r="G85" s="3"/>
      <c r="H85" s="85">
        <f>H86</f>
        <v>55</v>
      </c>
      <c r="I85" s="85">
        <f>I86</f>
        <v>0</v>
      </c>
      <c r="J85" s="85">
        <f>J86</f>
        <v>50</v>
      </c>
    </row>
    <row r="86" spans="1:10" s="1" customFormat="1" ht="16.5" customHeight="1" x14ac:dyDescent="0.25">
      <c r="A86" s="37"/>
      <c r="B86" s="84" t="s">
        <v>83</v>
      </c>
      <c r="C86" s="54">
        <v>851</v>
      </c>
      <c r="D86" s="3" t="s">
        <v>18</v>
      </c>
      <c r="E86" s="3" t="s">
        <v>82</v>
      </c>
      <c r="F86" s="3" t="s">
        <v>560</v>
      </c>
      <c r="G86" s="3" t="s">
        <v>84</v>
      </c>
      <c r="H86" s="85">
        <v>55</v>
      </c>
      <c r="I86" s="85"/>
      <c r="J86" s="85">
        <v>50</v>
      </c>
    </row>
    <row r="87" spans="1:10" s="1" customFormat="1" ht="27.75" customHeight="1" x14ac:dyDescent="0.25">
      <c r="A87" s="129" t="s">
        <v>561</v>
      </c>
      <c r="B87" s="129"/>
      <c r="C87" s="54">
        <v>851</v>
      </c>
      <c r="D87" s="3" t="s">
        <v>18</v>
      </c>
      <c r="E87" s="3" t="s">
        <v>82</v>
      </c>
      <c r="F87" s="3" t="s">
        <v>562</v>
      </c>
      <c r="G87" s="3"/>
      <c r="H87" s="85">
        <f>H88</f>
        <v>660</v>
      </c>
      <c r="I87" s="85">
        <f>I88</f>
        <v>-46.6</v>
      </c>
      <c r="J87" s="85">
        <f>J88</f>
        <v>595.1</v>
      </c>
    </row>
    <row r="88" spans="1:10" s="1" customFormat="1" ht="18" customHeight="1" x14ac:dyDescent="0.25">
      <c r="A88" s="37"/>
      <c r="B88" s="84" t="s">
        <v>83</v>
      </c>
      <c r="C88" s="54">
        <v>851</v>
      </c>
      <c r="D88" s="3" t="s">
        <v>18</v>
      </c>
      <c r="E88" s="3" t="s">
        <v>82</v>
      </c>
      <c r="F88" s="3" t="s">
        <v>562</v>
      </c>
      <c r="G88" s="3" t="s">
        <v>84</v>
      </c>
      <c r="H88" s="85">
        <v>660</v>
      </c>
      <c r="I88" s="85">
        <v>-46.6</v>
      </c>
      <c r="J88" s="85">
        <v>595.1</v>
      </c>
    </row>
    <row r="89" spans="1:10" s="6" customFormat="1" ht="15" customHeight="1" x14ac:dyDescent="0.25">
      <c r="A89" s="128" t="s">
        <v>563</v>
      </c>
      <c r="B89" s="128"/>
      <c r="C89" s="54">
        <v>851</v>
      </c>
      <c r="D89" s="81" t="s">
        <v>18</v>
      </c>
      <c r="E89" s="81" t="s">
        <v>23</v>
      </c>
      <c r="F89" s="81"/>
      <c r="G89" s="81"/>
      <c r="H89" s="86">
        <f>H90+H93+H98</f>
        <v>10</v>
      </c>
      <c r="I89" s="86">
        <f>I90+I93+I98</f>
        <v>51.7</v>
      </c>
      <c r="J89" s="86">
        <f>J90+J93+J98</f>
        <v>61.7</v>
      </c>
    </row>
    <row r="90" spans="1:10" s="1" customFormat="1" ht="15.75" customHeight="1" x14ac:dyDescent="0.25">
      <c r="A90" s="129" t="s">
        <v>26</v>
      </c>
      <c r="B90" s="129"/>
      <c r="C90" s="54">
        <v>851</v>
      </c>
      <c r="D90" s="3" t="s">
        <v>18</v>
      </c>
      <c r="E90" s="3" t="s">
        <v>23</v>
      </c>
      <c r="F90" s="3" t="s">
        <v>28</v>
      </c>
      <c r="G90" s="3"/>
      <c r="H90" s="85">
        <f t="shared" ref="H90:J91" si="11">H91</f>
        <v>0</v>
      </c>
      <c r="I90" s="85">
        <f t="shared" si="11"/>
        <v>4.5</v>
      </c>
      <c r="J90" s="85">
        <f t="shared" si="11"/>
        <v>4.5</v>
      </c>
    </row>
    <row r="91" spans="1:10" s="1" customFormat="1" ht="15.75" customHeight="1" x14ac:dyDescent="0.25">
      <c r="A91" s="129" t="s">
        <v>29</v>
      </c>
      <c r="B91" s="129"/>
      <c r="C91" s="54">
        <v>851</v>
      </c>
      <c r="D91" s="3" t="s">
        <v>18</v>
      </c>
      <c r="E91" s="3" t="s">
        <v>23</v>
      </c>
      <c r="F91" s="3" t="s">
        <v>30</v>
      </c>
      <c r="G91" s="3"/>
      <c r="H91" s="85">
        <f t="shared" si="11"/>
        <v>0</v>
      </c>
      <c r="I91" s="85">
        <f t="shared" si="11"/>
        <v>4.5</v>
      </c>
      <c r="J91" s="85">
        <f t="shared" si="11"/>
        <v>4.5</v>
      </c>
    </row>
    <row r="92" spans="1:10" s="1" customFormat="1" ht="15.75" customHeight="1" x14ac:dyDescent="0.25">
      <c r="A92" s="55"/>
      <c r="B92" s="59" t="s">
        <v>31</v>
      </c>
      <c r="C92" s="54">
        <v>851</v>
      </c>
      <c r="D92" s="3" t="s">
        <v>18</v>
      </c>
      <c r="E92" s="3" t="s">
        <v>23</v>
      </c>
      <c r="F92" s="3" t="s">
        <v>30</v>
      </c>
      <c r="G92" s="3" t="s">
        <v>32</v>
      </c>
      <c r="H92" s="85"/>
      <c r="I92" s="85">
        <v>4.5</v>
      </c>
      <c r="J92" s="85">
        <f>H92+I92</f>
        <v>4.5</v>
      </c>
    </row>
    <row r="93" spans="1:10" s="1" customFormat="1" ht="15.75" customHeight="1" x14ac:dyDescent="0.25">
      <c r="A93" s="129" t="s">
        <v>564</v>
      </c>
      <c r="B93" s="129"/>
      <c r="C93" s="54">
        <v>851</v>
      </c>
      <c r="D93" s="3" t="s">
        <v>18</v>
      </c>
      <c r="E93" s="3" t="s">
        <v>23</v>
      </c>
      <c r="F93" s="3" t="s">
        <v>565</v>
      </c>
      <c r="G93" s="3"/>
      <c r="H93" s="85">
        <f>H94+H97</f>
        <v>10</v>
      </c>
      <c r="I93" s="85">
        <f>I94+I97</f>
        <v>2.1999999999999993</v>
      </c>
      <c r="J93" s="85">
        <f>J94+J97</f>
        <v>12.2</v>
      </c>
    </row>
    <row r="94" spans="1:10" s="1" customFormat="1" ht="15.75" hidden="1" customHeight="1" x14ac:dyDescent="0.25">
      <c r="A94" s="129" t="s">
        <v>566</v>
      </c>
      <c r="B94" s="129"/>
      <c r="C94" s="54">
        <v>851</v>
      </c>
      <c r="D94" s="3" t="s">
        <v>18</v>
      </c>
      <c r="E94" s="3" t="s">
        <v>23</v>
      </c>
      <c r="F94" s="3" t="s">
        <v>567</v>
      </c>
      <c r="G94" s="3"/>
      <c r="H94" s="85">
        <f>H95</f>
        <v>10</v>
      </c>
      <c r="I94" s="85">
        <f>I95</f>
        <v>-10</v>
      </c>
      <c r="J94" s="85">
        <f>J95</f>
        <v>0</v>
      </c>
    </row>
    <row r="95" spans="1:10" s="1" customFormat="1" ht="16.5" hidden="1" customHeight="1" x14ac:dyDescent="0.25">
      <c r="A95" s="55"/>
      <c r="B95" s="84" t="s">
        <v>40</v>
      </c>
      <c r="C95" s="54">
        <v>851</v>
      </c>
      <c r="D95" s="3" t="s">
        <v>18</v>
      </c>
      <c r="E95" s="3" t="s">
        <v>23</v>
      </c>
      <c r="F95" s="3" t="s">
        <v>567</v>
      </c>
      <c r="G95" s="3" t="s">
        <v>41</v>
      </c>
      <c r="H95" s="85">
        <v>10</v>
      </c>
      <c r="I95" s="85">
        <v>-10</v>
      </c>
      <c r="J95" s="85">
        <f>H95+I95</f>
        <v>0</v>
      </c>
    </row>
    <row r="96" spans="1:10" s="1" customFormat="1" ht="30" customHeight="1" x14ac:dyDescent="0.25">
      <c r="A96" s="129" t="s">
        <v>568</v>
      </c>
      <c r="B96" s="129"/>
      <c r="C96" s="54">
        <v>851</v>
      </c>
      <c r="D96" s="3" t="s">
        <v>18</v>
      </c>
      <c r="E96" s="3" t="s">
        <v>23</v>
      </c>
      <c r="F96" s="3" t="s">
        <v>569</v>
      </c>
      <c r="G96" s="3"/>
      <c r="H96" s="85">
        <f>H97</f>
        <v>0</v>
      </c>
      <c r="I96" s="85">
        <f>I97</f>
        <v>12.2</v>
      </c>
      <c r="J96" s="85">
        <f>J97</f>
        <v>12.2</v>
      </c>
    </row>
    <row r="97" spans="1:10" s="1" customFormat="1" ht="16.5" customHeight="1" x14ac:dyDescent="0.25">
      <c r="A97" s="55"/>
      <c r="B97" s="84" t="s">
        <v>40</v>
      </c>
      <c r="C97" s="54">
        <v>851</v>
      </c>
      <c r="D97" s="3" t="s">
        <v>18</v>
      </c>
      <c r="E97" s="3" t="s">
        <v>23</v>
      </c>
      <c r="F97" s="3" t="s">
        <v>569</v>
      </c>
      <c r="G97" s="3" t="s">
        <v>41</v>
      </c>
      <c r="H97" s="85">
        <v>0</v>
      </c>
      <c r="I97" s="85">
        <f>10+2.2</f>
        <v>12.2</v>
      </c>
      <c r="J97" s="85">
        <f>H97+I97</f>
        <v>12.2</v>
      </c>
    </row>
    <row r="98" spans="1:10" s="1" customFormat="1" ht="15.75" customHeight="1" x14ac:dyDescent="0.25">
      <c r="A98" s="129" t="s">
        <v>570</v>
      </c>
      <c r="B98" s="129"/>
      <c r="C98" s="54">
        <v>851</v>
      </c>
      <c r="D98" s="3" t="s">
        <v>18</v>
      </c>
      <c r="E98" s="3" t="s">
        <v>23</v>
      </c>
      <c r="F98" s="3" t="s">
        <v>571</v>
      </c>
      <c r="G98" s="3"/>
      <c r="H98" s="85">
        <f t="shared" ref="H98:J99" si="12">H99</f>
        <v>0</v>
      </c>
      <c r="I98" s="85">
        <f t="shared" si="12"/>
        <v>45</v>
      </c>
      <c r="J98" s="85">
        <f t="shared" si="12"/>
        <v>45</v>
      </c>
    </row>
    <row r="99" spans="1:10" s="1" customFormat="1" ht="41.25" customHeight="1" x14ac:dyDescent="0.25">
      <c r="A99" s="129" t="s">
        <v>572</v>
      </c>
      <c r="B99" s="129"/>
      <c r="C99" s="54">
        <v>851</v>
      </c>
      <c r="D99" s="3" t="s">
        <v>18</v>
      </c>
      <c r="E99" s="3" t="s">
        <v>23</v>
      </c>
      <c r="F99" s="3" t="s">
        <v>573</v>
      </c>
      <c r="G99" s="3"/>
      <c r="H99" s="85">
        <f t="shared" si="12"/>
        <v>0</v>
      </c>
      <c r="I99" s="85">
        <f t="shared" si="12"/>
        <v>45</v>
      </c>
      <c r="J99" s="85">
        <f t="shared" si="12"/>
        <v>45</v>
      </c>
    </row>
    <row r="100" spans="1:10" s="1" customFormat="1" ht="15.75" customHeight="1" x14ac:dyDescent="0.25">
      <c r="A100" s="55"/>
      <c r="B100" s="59" t="s">
        <v>31</v>
      </c>
      <c r="C100" s="54">
        <v>851</v>
      </c>
      <c r="D100" s="3" t="s">
        <v>18</v>
      </c>
      <c r="E100" s="3" t="s">
        <v>23</v>
      </c>
      <c r="F100" s="3" t="s">
        <v>573</v>
      </c>
      <c r="G100" s="3" t="s">
        <v>32</v>
      </c>
      <c r="H100" s="85"/>
      <c r="I100" s="85">
        <v>45</v>
      </c>
      <c r="J100" s="85">
        <f>H100+I100</f>
        <v>45</v>
      </c>
    </row>
    <row r="101" spans="1:10" s="6" customFormat="1" ht="18" customHeight="1" x14ac:dyDescent="0.25">
      <c r="A101" s="128" t="s">
        <v>85</v>
      </c>
      <c r="B101" s="128"/>
      <c r="C101" s="50">
        <v>851</v>
      </c>
      <c r="D101" s="81" t="s">
        <v>18</v>
      </c>
      <c r="E101" s="81" t="s">
        <v>86</v>
      </c>
      <c r="F101" s="81"/>
      <c r="G101" s="81"/>
      <c r="H101" s="86">
        <f>H102</f>
        <v>117.5</v>
      </c>
      <c r="I101" s="86">
        <f t="shared" ref="I101:J104" si="13">I102</f>
        <v>0</v>
      </c>
      <c r="J101" s="86">
        <f t="shared" si="13"/>
        <v>117.5</v>
      </c>
    </row>
    <row r="102" spans="1:10" s="10" customFormat="1" ht="14.25" customHeight="1" x14ac:dyDescent="0.25">
      <c r="A102" s="129" t="s">
        <v>275</v>
      </c>
      <c r="B102" s="129"/>
      <c r="C102" s="54">
        <v>851</v>
      </c>
      <c r="D102" s="3" t="s">
        <v>18</v>
      </c>
      <c r="E102" s="3" t="s">
        <v>86</v>
      </c>
      <c r="F102" s="3" t="s">
        <v>540</v>
      </c>
      <c r="G102" s="78"/>
      <c r="H102" s="85">
        <f>H103</f>
        <v>117.5</v>
      </c>
      <c r="I102" s="85">
        <f t="shared" si="13"/>
        <v>0</v>
      </c>
      <c r="J102" s="85">
        <f t="shared" si="13"/>
        <v>117.5</v>
      </c>
    </row>
    <row r="103" spans="1:10" s="1" customFormat="1" ht="51" customHeight="1" x14ac:dyDescent="0.25">
      <c r="A103" s="129" t="s">
        <v>541</v>
      </c>
      <c r="B103" s="129"/>
      <c r="C103" s="54">
        <v>851</v>
      </c>
      <c r="D103" s="88" t="s">
        <v>18</v>
      </c>
      <c r="E103" s="88" t="s">
        <v>86</v>
      </c>
      <c r="F103" s="88" t="s">
        <v>542</v>
      </c>
      <c r="G103" s="89"/>
      <c r="H103" s="85">
        <f>H104</f>
        <v>117.5</v>
      </c>
      <c r="I103" s="85">
        <f t="shared" si="13"/>
        <v>0</v>
      </c>
      <c r="J103" s="85">
        <f t="shared" si="13"/>
        <v>117.5</v>
      </c>
    </row>
    <row r="104" spans="1:10" s="1" customFormat="1" ht="28.5" customHeight="1" x14ac:dyDescent="0.25">
      <c r="A104" s="129" t="s">
        <v>87</v>
      </c>
      <c r="B104" s="129"/>
      <c r="C104" s="54">
        <v>851</v>
      </c>
      <c r="D104" s="88" t="s">
        <v>18</v>
      </c>
      <c r="E104" s="88" t="s">
        <v>86</v>
      </c>
      <c r="F104" s="88" t="s">
        <v>574</v>
      </c>
      <c r="G104" s="88"/>
      <c r="H104" s="85">
        <f>H105</f>
        <v>117.5</v>
      </c>
      <c r="I104" s="85">
        <f t="shared" si="13"/>
        <v>0</v>
      </c>
      <c r="J104" s="85">
        <f t="shared" si="13"/>
        <v>117.5</v>
      </c>
    </row>
    <row r="105" spans="1:10" s="1" customFormat="1" ht="16.5" customHeight="1" x14ac:dyDescent="0.25">
      <c r="A105" s="55"/>
      <c r="B105" s="84" t="s">
        <v>40</v>
      </c>
      <c r="C105" s="54">
        <v>851</v>
      </c>
      <c r="D105" s="3" t="s">
        <v>18</v>
      </c>
      <c r="E105" s="3" t="s">
        <v>86</v>
      </c>
      <c r="F105" s="3" t="s">
        <v>574</v>
      </c>
      <c r="G105" s="3" t="s">
        <v>41</v>
      </c>
      <c r="H105" s="85">
        <v>117.5</v>
      </c>
      <c r="I105" s="85"/>
      <c r="J105" s="85">
        <f>H105+I105</f>
        <v>117.5</v>
      </c>
    </row>
    <row r="106" spans="1:10" s="6" customFormat="1" ht="15.75" customHeight="1" x14ac:dyDescent="0.25">
      <c r="A106" s="128" t="s">
        <v>88</v>
      </c>
      <c r="B106" s="128"/>
      <c r="C106" s="50">
        <v>851</v>
      </c>
      <c r="D106" s="81" t="s">
        <v>82</v>
      </c>
      <c r="E106" s="81"/>
      <c r="F106" s="81"/>
      <c r="G106" s="81"/>
      <c r="H106" s="86">
        <f>H107</f>
        <v>20</v>
      </c>
      <c r="I106" s="86">
        <f t="shared" ref="I106:J109" si="14">I107</f>
        <v>0</v>
      </c>
      <c r="J106" s="86">
        <f t="shared" si="14"/>
        <v>0</v>
      </c>
    </row>
    <row r="107" spans="1:10" s="6" customFormat="1" ht="15.75" customHeight="1" x14ac:dyDescent="0.25">
      <c r="A107" s="128" t="s">
        <v>89</v>
      </c>
      <c r="B107" s="128"/>
      <c r="C107" s="50">
        <v>851</v>
      </c>
      <c r="D107" s="81" t="s">
        <v>82</v>
      </c>
      <c r="E107" s="81" t="s">
        <v>51</v>
      </c>
      <c r="F107" s="81"/>
      <c r="G107" s="81"/>
      <c r="H107" s="86">
        <f>H108</f>
        <v>20</v>
      </c>
      <c r="I107" s="86">
        <f t="shared" si="14"/>
        <v>0</v>
      </c>
      <c r="J107" s="86">
        <f t="shared" si="14"/>
        <v>0</v>
      </c>
    </row>
    <row r="108" spans="1:10" s="1" customFormat="1" ht="17.25" customHeight="1" x14ac:dyDescent="0.25">
      <c r="A108" s="129" t="s">
        <v>545</v>
      </c>
      <c r="B108" s="129"/>
      <c r="C108" s="54">
        <v>851</v>
      </c>
      <c r="D108" s="3" t="s">
        <v>82</v>
      </c>
      <c r="E108" s="3" t="s">
        <v>51</v>
      </c>
      <c r="F108" s="3" t="s">
        <v>244</v>
      </c>
      <c r="G108" s="3"/>
      <c r="H108" s="85">
        <f>H109</f>
        <v>20</v>
      </c>
      <c r="I108" s="85">
        <f t="shared" si="14"/>
        <v>0</v>
      </c>
      <c r="J108" s="85">
        <f t="shared" si="14"/>
        <v>0</v>
      </c>
    </row>
    <row r="109" spans="1:10" s="1" customFormat="1" ht="17.25" customHeight="1" x14ac:dyDescent="0.25">
      <c r="A109" s="129" t="s">
        <v>575</v>
      </c>
      <c r="B109" s="129"/>
      <c r="C109" s="54">
        <v>851</v>
      </c>
      <c r="D109" s="3" t="s">
        <v>82</v>
      </c>
      <c r="E109" s="3" t="s">
        <v>51</v>
      </c>
      <c r="F109" s="3" t="s">
        <v>576</v>
      </c>
      <c r="G109" s="3"/>
      <c r="H109" s="85">
        <f>H110</f>
        <v>20</v>
      </c>
      <c r="I109" s="85">
        <f t="shared" si="14"/>
        <v>0</v>
      </c>
      <c r="J109" s="85">
        <f t="shared" si="14"/>
        <v>0</v>
      </c>
    </row>
    <row r="110" spans="1:10" s="1" customFormat="1" ht="14.25" customHeight="1" x14ac:dyDescent="0.25">
      <c r="A110" s="55"/>
      <c r="B110" s="59" t="s">
        <v>90</v>
      </c>
      <c r="C110" s="54">
        <v>851</v>
      </c>
      <c r="D110" s="3" t="s">
        <v>82</v>
      </c>
      <c r="E110" s="3" t="s">
        <v>51</v>
      </c>
      <c r="F110" s="3" t="s">
        <v>576</v>
      </c>
      <c r="G110" s="3" t="s">
        <v>91</v>
      </c>
      <c r="H110" s="85">
        <v>20</v>
      </c>
      <c r="I110" s="85"/>
      <c r="J110" s="85">
        <v>0</v>
      </c>
    </row>
    <row r="111" spans="1:10" s="6" customFormat="1" ht="16.5" customHeight="1" x14ac:dyDescent="0.25">
      <c r="A111" s="128" t="s">
        <v>92</v>
      </c>
      <c r="B111" s="128"/>
      <c r="C111" s="50">
        <v>851</v>
      </c>
      <c r="D111" s="81" t="s">
        <v>93</v>
      </c>
      <c r="E111" s="81"/>
      <c r="F111" s="81"/>
      <c r="G111" s="81"/>
      <c r="H111" s="86">
        <f>H112</f>
        <v>10565</v>
      </c>
      <c r="I111" s="86">
        <f t="shared" ref="I111:J115" si="15">I112</f>
        <v>0</v>
      </c>
      <c r="J111" s="86">
        <f t="shared" si="15"/>
        <v>10500</v>
      </c>
    </row>
    <row r="112" spans="1:10" s="6" customFormat="1" ht="15" customHeight="1" x14ac:dyDescent="0.25">
      <c r="A112" s="128" t="s">
        <v>111</v>
      </c>
      <c r="B112" s="128"/>
      <c r="C112" s="50">
        <v>851</v>
      </c>
      <c r="D112" s="81" t="s">
        <v>93</v>
      </c>
      <c r="E112" s="81" t="s">
        <v>51</v>
      </c>
      <c r="F112" s="81"/>
      <c r="G112" s="81"/>
      <c r="H112" s="86">
        <f>H113+H117</f>
        <v>10565</v>
      </c>
      <c r="I112" s="86">
        <f>I113+I117</f>
        <v>0</v>
      </c>
      <c r="J112" s="86">
        <f>J113+J117</f>
        <v>10500</v>
      </c>
    </row>
    <row r="113" spans="1:10" s="1" customFormat="1" ht="27" customHeight="1" x14ac:dyDescent="0.25">
      <c r="A113" s="135" t="s">
        <v>112</v>
      </c>
      <c r="B113" s="135"/>
      <c r="C113" s="54">
        <v>851</v>
      </c>
      <c r="D113" s="3" t="s">
        <v>93</v>
      </c>
      <c r="E113" s="3" t="s">
        <v>51</v>
      </c>
      <c r="F113" s="3" t="s">
        <v>113</v>
      </c>
      <c r="G113" s="3"/>
      <c r="H113" s="85">
        <f>H114</f>
        <v>565</v>
      </c>
      <c r="I113" s="85">
        <f t="shared" si="15"/>
        <v>0</v>
      </c>
      <c r="J113" s="85">
        <f t="shared" si="15"/>
        <v>500</v>
      </c>
    </row>
    <row r="114" spans="1:10" s="9" customFormat="1" ht="41.25" customHeight="1" x14ac:dyDescent="0.25">
      <c r="A114" s="135" t="s">
        <v>114</v>
      </c>
      <c r="B114" s="135"/>
      <c r="C114" s="54">
        <v>851</v>
      </c>
      <c r="D114" s="3" t="s">
        <v>93</v>
      </c>
      <c r="E114" s="3" t="s">
        <v>51</v>
      </c>
      <c r="F114" s="3" t="s">
        <v>115</v>
      </c>
      <c r="G114" s="3"/>
      <c r="H114" s="85">
        <f>H115</f>
        <v>565</v>
      </c>
      <c r="I114" s="85">
        <f t="shared" si="15"/>
        <v>0</v>
      </c>
      <c r="J114" s="85">
        <f t="shared" si="15"/>
        <v>500</v>
      </c>
    </row>
    <row r="115" spans="1:10" s="38" customFormat="1" ht="26.25" customHeight="1" x14ac:dyDescent="0.25">
      <c r="A115" s="136" t="s">
        <v>116</v>
      </c>
      <c r="B115" s="136"/>
      <c r="C115" s="54">
        <v>851</v>
      </c>
      <c r="D115" s="88" t="s">
        <v>93</v>
      </c>
      <c r="E115" s="88" t="s">
        <v>51</v>
      </c>
      <c r="F115" s="88" t="s">
        <v>117</v>
      </c>
      <c r="G115" s="88"/>
      <c r="H115" s="63">
        <f>H116</f>
        <v>565</v>
      </c>
      <c r="I115" s="63">
        <f t="shared" si="15"/>
        <v>0</v>
      </c>
      <c r="J115" s="63">
        <f t="shared" si="15"/>
        <v>500</v>
      </c>
    </row>
    <row r="116" spans="1:10" s="9" customFormat="1" ht="15" customHeight="1" x14ac:dyDescent="0.25">
      <c r="A116" s="84"/>
      <c r="B116" s="84" t="s">
        <v>90</v>
      </c>
      <c r="C116" s="54">
        <v>851</v>
      </c>
      <c r="D116" s="88" t="s">
        <v>93</v>
      </c>
      <c r="E116" s="88" t="s">
        <v>51</v>
      </c>
      <c r="F116" s="88" t="s">
        <v>117</v>
      </c>
      <c r="G116" s="88" t="s">
        <v>91</v>
      </c>
      <c r="H116" s="85">
        <v>565</v>
      </c>
      <c r="I116" s="85"/>
      <c r="J116" s="85">
        <f>H116+I116-65</f>
        <v>500</v>
      </c>
    </row>
    <row r="117" spans="1:10" s="1" customFormat="1" ht="27" customHeight="1" x14ac:dyDescent="0.25">
      <c r="A117" s="129" t="s">
        <v>173</v>
      </c>
      <c r="B117" s="129"/>
      <c r="C117" s="54">
        <v>851</v>
      </c>
      <c r="D117" s="88" t="s">
        <v>93</v>
      </c>
      <c r="E117" s="88" t="s">
        <v>51</v>
      </c>
      <c r="F117" s="88" t="s">
        <v>174</v>
      </c>
      <c r="G117" s="89"/>
      <c r="H117" s="63">
        <f>H118</f>
        <v>10000</v>
      </c>
      <c r="I117" s="63">
        <f>I118</f>
        <v>0</v>
      </c>
      <c r="J117" s="63">
        <f>J118</f>
        <v>10000</v>
      </c>
    </row>
    <row r="118" spans="1:10" s="1" customFormat="1" ht="18" customHeight="1" x14ac:dyDescent="0.25">
      <c r="A118" s="129" t="s">
        <v>175</v>
      </c>
      <c r="B118" s="129"/>
      <c r="C118" s="54">
        <v>851</v>
      </c>
      <c r="D118" s="3" t="s">
        <v>93</v>
      </c>
      <c r="E118" s="3" t="s">
        <v>51</v>
      </c>
      <c r="F118" s="3" t="s">
        <v>612</v>
      </c>
      <c r="G118" s="78"/>
      <c r="H118" s="85">
        <f t="shared" ref="H118:J119" si="16">H119</f>
        <v>10000</v>
      </c>
      <c r="I118" s="85">
        <f t="shared" si="16"/>
        <v>0</v>
      </c>
      <c r="J118" s="85">
        <f t="shared" si="16"/>
        <v>10000</v>
      </c>
    </row>
    <row r="119" spans="1:10" s="1" customFormat="1" ht="27" customHeight="1" x14ac:dyDescent="0.25">
      <c r="A119" s="129" t="s">
        <v>613</v>
      </c>
      <c r="B119" s="129"/>
      <c r="C119" s="54">
        <v>851</v>
      </c>
      <c r="D119" s="3" t="s">
        <v>93</v>
      </c>
      <c r="E119" s="3" t="s">
        <v>51</v>
      </c>
      <c r="F119" s="3" t="s">
        <v>176</v>
      </c>
      <c r="G119" s="78"/>
      <c r="H119" s="85">
        <f t="shared" si="16"/>
        <v>10000</v>
      </c>
      <c r="I119" s="85">
        <f t="shared" si="16"/>
        <v>0</v>
      </c>
      <c r="J119" s="85">
        <f t="shared" si="16"/>
        <v>10000</v>
      </c>
    </row>
    <row r="120" spans="1:10" s="1" customFormat="1" ht="14.25" customHeight="1" x14ac:dyDescent="0.25">
      <c r="A120" s="84"/>
      <c r="B120" s="84" t="s">
        <v>90</v>
      </c>
      <c r="C120" s="54">
        <v>851</v>
      </c>
      <c r="D120" s="88" t="s">
        <v>93</v>
      </c>
      <c r="E120" s="88" t="s">
        <v>51</v>
      </c>
      <c r="F120" s="88" t="s">
        <v>176</v>
      </c>
      <c r="G120" s="89" t="s">
        <v>91</v>
      </c>
      <c r="H120" s="55">
        <v>10000</v>
      </c>
      <c r="I120" s="85"/>
      <c r="J120" s="85">
        <f>H120+I120</f>
        <v>10000</v>
      </c>
    </row>
    <row r="121" spans="1:10" s="12" customFormat="1" ht="18" customHeight="1" x14ac:dyDescent="0.25">
      <c r="A121" s="132" t="s">
        <v>689</v>
      </c>
      <c r="B121" s="132"/>
      <c r="C121" s="106">
        <v>851</v>
      </c>
      <c r="D121" s="79" t="s">
        <v>202</v>
      </c>
      <c r="E121" s="79"/>
      <c r="F121" s="79"/>
      <c r="G121" s="79"/>
      <c r="H121" s="80">
        <f>H122+H154</f>
        <v>4285.9039999999995</v>
      </c>
      <c r="I121" s="80">
        <f>I122+I154</f>
        <v>0</v>
      </c>
      <c r="J121" s="80">
        <f>J122+J154</f>
        <v>4207.8999999999996</v>
      </c>
    </row>
    <row r="122" spans="1:10" s="39" customFormat="1" ht="17.25" customHeight="1" x14ac:dyDescent="0.25">
      <c r="A122" s="128" t="s">
        <v>203</v>
      </c>
      <c r="B122" s="128"/>
      <c r="C122" s="50">
        <v>851</v>
      </c>
      <c r="D122" s="81" t="s">
        <v>202</v>
      </c>
      <c r="E122" s="81" t="s">
        <v>6</v>
      </c>
      <c r="F122" s="81"/>
      <c r="G122" s="81"/>
      <c r="H122" s="86">
        <f>H123+H133+H145+H149</f>
        <v>3960.0039999999999</v>
      </c>
      <c r="I122" s="86">
        <f>I123+I133+I145+I149</f>
        <v>0</v>
      </c>
      <c r="J122" s="86">
        <f>J123+J133+J145+J149</f>
        <v>3898.0159999999996</v>
      </c>
    </row>
    <row r="123" spans="1:10" s="9" customFormat="1" ht="14.25" customHeight="1" x14ac:dyDescent="0.25">
      <c r="A123" s="129" t="s">
        <v>635</v>
      </c>
      <c r="B123" s="129"/>
      <c r="C123" s="54">
        <v>851</v>
      </c>
      <c r="D123" s="3" t="s">
        <v>202</v>
      </c>
      <c r="E123" s="3" t="s">
        <v>6</v>
      </c>
      <c r="F123" s="3" t="s">
        <v>204</v>
      </c>
      <c r="G123" s="3"/>
      <c r="H123" s="85">
        <f>H124</f>
        <v>1538.1</v>
      </c>
      <c r="I123" s="85">
        <f>I124</f>
        <v>0</v>
      </c>
      <c r="J123" s="85">
        <f>J124</f>
        <v>1477.2939999999999</v>
      </c>
    </row>
    <row r="124" spans="1:10" s="9" customFormat="1" ht="18" customHeight="1" x14ac:dyDescent="0.25">
      <c r="A124" s="129" t="s">
        <v>97</v>
      </c>
      <c r="B124" s="129"/>
      <c r="C124" s="54">
        <v>851</v>
      </c>
      <c r="D124" s="3" t="s">
        <v>202</v>
      </c>
      <c r="E124" s="3" t="s">
        <v>6</v>
      </c>
      <c r="F124" s="3" t="s">
        <v>205</v>
      </c>
      <c r="G124" s="3"/>
      <c r="H124" s="85">
        <f>H125+H127+H129+H131</f>
        <v>1538.1</v>
      </c>
      <c r="I124" s="85">
        <f>I125+I127+I129+I131</f>
        <v>0</v>
      </c>
      <c r="J124" s="85">
        <f>J125+J127+J129+J131</f>
        <v>1477.2939999999999</v>
      </c>
    </row>
    <row r="125" spans="1:10" s="9" customFormat="1" ht="18" customHeight="1" x14ac:dyDescent="0.25">
      <c r="A125" s="141" t="s">
        <v>206</v>
      </c>
      <c r="B125" s="141"/>
      <c r="C125" s="54">
        <v>851</v>
      </c>
      <c r="D125" s="3" t="s">
        <v>202</v>
      </c>
      <c r="E125" s="3" t="s">
        <v>6</v>
      </c>
      <c r="F125" s="3" t="s">
        <v>207</v>
      </c>
      <c r="G125" s="3"/>
      <c r="H125" s="85">
        <f>H126</f>
        <v>108.596</v>
      </c>
      <c r="I125" s="85">
        <f>I126</f>
        <v>0</v>
      </c>
      <c r="J125" s="85">
        <f>J126</f>
        <v>103.09</v>
      </c>
    </row>
    <row r="126" spans="1:10" s="9" customFormat="1" ht="18" customHeight="1" x14ac:dyDescent="0.25">
      <c r="A126" s="55"/>
      <c r="B126" s="59" t="s">
        <v>101</v>
      </c>
      <c r="C126" s="54">
        <v>851</v>
      </c>
      <c r="D126" s="3" t="s">
        <v>202</v>
      </c>
      <c r="E126" s="3" t="s">
        <v>6</v>
      </c>
      <c r="F126" s="3" t="s">
        <v>207</v>
      </c>
      <c r="G126" s="3" t="s">
        <v>102</v>
      </c>
      <c r="H126" s="85">
        <v>108.596</v>
      </c>
      <c r="I126" s="85"/>
      <c r="J126" s="85">
        <v>103.09</v>
      </c>
    </row>
    <row r="127" spans="1:10" s="38" customFormat="1" ht="17.25" customHeight="1" x14ac:dyDescent="0.25">
      <c r="A127" s="129" t="s">
        <v>208</v>
      </c>
      <c r="B127" s="129"/>
      <c r="C127" s="54">
        <v>851</v>
      </c>
      <c r="D127" s="88" t="s">
        <v>202</v>
      </c>
      <c r="E127" s="88" t="s">
        <v>6</v>
      </c>
      <c r="F127" s="88" t="s">
        <v>209</v>
      </c>
      <c r="G127" s="88"/>
      <c r="H127" s="85">
        <f>H128</f>
        <v>2.004</v>
      </c>
      <c r="I127" s="85">
        <f>I128</f>
        <v>0</v>
      </c>
      <c r="J127" s="85">
        <f>J128</f>
        <v>2.004</v>
      </c>
    </row>
    <row r="128" spans="1:10" s="9" customFormat="1" ht="18" customHeight="1" x14ac:dyDescent="0.25">
      <c r="A128" s="55"/>
      <c r="B128" s="59" t="s">
        <v>101</v>
      </c>
      <c r="C128" s="54">
        <v>851</v>
      </c>
      <c r="D128" s="3" t="s">
        <v>202</v>
      </c>
      <c r="E128" s="3" t="s">
        <v>6</v>
      </c>
      <c r="F128" s="3" t="s">
        <v>209</v>
      </c>
      <c r="G128" s="3" t="s">
        <v>102</v>
      </c>
      <c r="H128" s="85">
        <v>2.004</v>
      </c>
      <c r="I128" s="85"/>
      <c r="J128" s="85">
        <f>H128+I128</f>
        <v>2.004</v>
      </c>
    </row>
    <row r="129" spans="1:10" s="9" customFormat="1" ht="18" customHeight="1" x14ac:dyDescent="0.25">
      <c r="A129" s="141" t="s">
        <v>210</v>
      </c>
      <c r="B129" s="141"/>
      <c r="C129" s="54">
        <v>851</v>
      </c>
      <c r="D129" s="3" t="s">
        <v>202</v>
      </c>
      <c r="E129" s="3" t="s">
        <v>6</v>
      </c>
      <c r="F129" s="3" t="s">
        <v>211</v>
      </c>
      <c r="G129" s="3"/>
      <c r="H129" s="85">
        <f>H130</f>
        <v>227.5</v>
      </c>
      <c r="I129" s="85">
        <f>I130</f>
        <v>0</v>
      </c>
      <c r="J129" s="85">
        <f>J130</f>
        <v>172.2</v>
      </c>
    </row>
    <row r="130" spans="1:10" s="9" customFormat="1" ht="17.25" customHeight="1" x14ac:dyDescent="0.25">
      <c r="A130" s="55"/>
      <c r="B130" s="59" t="s">
        <v>101</v>
      </c>
      <c r="C130" s="54">
        <v>851</v>
      </c>
      <c r="D130" s="3" t="s">
        <v>202</v>
      </c>
      <c r="E130" s="3" t="s">
        <v>6</v>
      </c>
      <c r="F130" s="3" t="s">
        <v>211</v>
      </c>
      <c r="G130" s="3" t="s">
        <v>102</v>
      </c>
      <c r="H130" s="85">
        <v>227.5</v>
      </c>
      <c r="I130" s="85"/>
      <c r="J130" s="85">
        <v>172.2</v>
      </c>
    </row>
    <row r="131" spans="1:10" s="2" customFormat="1" ht="27" customHeight="1" x14ac:dyDescent="0.25">
      <c r="A131" s="137" t="s">
        <v>636</v>
      </c>
      <c r="B131" s="138"/>
      <c r="C131" s="54">
        <v>851</v>
      </c>
      <c r="D131" s="88" t="s">
        <v>202</v>
      </c>
      <c r="E131" s="88" t="s">
        <v>6</v>
      </c>
      <c r="F131" s="88" t="s">
        <v>637</v>
      </c>
      <c r="G131" s="88"/>
      <c r="H131" s="63">
        <f>H132</f>
        <v>1200</v>
      </c>
      <c r="I131" s="63">
        <f>I132</f>
        <v>0</v>
      </c>
      <c r="J131" s="63">
        <f>J132</f>
        <v>1200</v>
      </c>
    </row>
    <row r="132" spans="1:10" s="1" customFormat="1" ht="15" customHeight="1" x14ac:dyDescent="0.25">
      <c r="A132" s="55"/>
      <c r="B132" s="59" t="s">
        <v>101</v>
      </c>
      <c r="C132" s="54">
        <v>851</v>
      </c>
      <c r="D132" s="3" t="s">
        <v>202</v>
      </c>
      <c r="E132" s="3" t="s">
        <v>6</v>
      </c>
      <c r="F132" s="3" t="s">
        <v>637</v>
      </c>
      <c r="G132" s="3" t="s">
        <v>102</v>
      </c>
      <c r="H132" s="85">
        <v>1200</v>
      </c>
      <c r="I132" s="85"/>
      <c r="J132" s="85">
        <f>H132+I132</f>
        <v>1200</v>
      </c>
    </row>
    <row r="133" spans="1:10" s="9" customFormat="1" ht="12.75" customHeight="1" x14ac:dyDescent="0.25">
      <c r="A133" s="129" t="s">
        <v>213</v>
      </c>
      <c r="B133" s="129"/>
      <c r="C133" s="54">
        <v>851</v>
      </c>
      <c r="D133" s="3" t="s">
        <v>202</v>
      </c>
      <c r="E133" s="3" t="s">
        <v>6</v>
      </c>
      <c r="F133" s="3" t="s">
        <v>214</v>
      </c>
      <c r="G133" s="3"/>
      <c r="H133" s="85">
        <f>H134</f>
        <v>2351.904</v>
      </c>
      <c r="I133" s="85">
        <f>I134</f>
        <v>0</v>
      </c>
      <c r="J133" s="85">
        <f>J134</f>
        <v>2350.7219999999998</v>
      </c>
    </row>
    <row r="134" spans="1:10" s="9" customFormat="1" ht="15.75" customHeight="1" x14ac:dyDescent="0.25">
      <c r="A134" s="129" t="s">
        <v>97</v>
      </c>
      <c r="B134" s="129"/>
      <c r="C134" s="54">
        <v>851</v>
      </c>
      <c r="D134" s="3" t="s">
        <v>202</v>
      </c>
      <c r="E134" s="3" t="s">
        <v>6</v>
      </c>
      <c r="F134" s="3" t="s">
        <v>215</v>
      </c>
      <c r="G134" s="3"/>
      <c r="H134" s="85">
        <f>H135+H137+H139+H141+H143</f>
        <v>2351.904</v>
      </c>
      <c r="I134" s="85">
        <f>I135+I137+I139+I141+I143</f>
        <v>0</v>
      </c>
      <c r="J134" s="85">
        <f>J135+J137+J139+J141+J143</f>
        <v>2350.7219999999998</v>
      </c>
    </row>
    <row r="135" spans="1:10" s="9" customFormat="1" ht="28.5" customHeight="1" x14ac:dyDescent="0.25">
      <c r="A135" s="137" t="s">
        <v>638</v>
      </c>
      <c r="B135" s="138"/>
      <c r="C135" s="54">
        <v>851</v>
      </c>
      <c r="D135" s="3" t="s">
        <v>202</v>
      </c>
      <c r="E135" s="3" t="s">
        <v>6</v>
      </c>
      <c r="F135" s="3" t="s">
        <v>216</v>
      </c>
      <c r="G135" s="3"/>
      <c r="H135" s="85">
        <f>H136</f>
        <v>338.88799999999998</v>
      </c>
      <c r="I135" s="85">
        <f>I136</f>
        <v>0</v>
      </c>
      <c r="J135" s="85">
        <f>J136</f>
        <v>321.70600000000002</v>
      </c>
    </row>
    <row r="136" spans="1:10" s="9" customFormat="1" ht="15" customHeight="1" x14ac:dyDescent="0.25">
      <c r="A136" s="55"/>
      <c r="B136" s="59" t="s">
        <v>101</v>
      </c>
      <c r="C136" s="54">
        <v>851</v>
      </c>
      <c r="D136" s="3" t="s">
        <v>202</v>
      </c>
      <c r="E136" s="3" t="s">
        <v>6</v>
      </c>
      <c r="F136" s="3" t="s">
        <v>216</v>
      </c>
      <c r="G136" s="3" t="s">
        <v>102</v>
      </c>
      <c r="H136" s="85">
        <v>338.88799999999998</v>
      </c>
      <c r="I136" s="85"/>
      <c r="J136" s="85">
        <v>321.70600000000002</v>
      </c>
    </row>
    <row r="137" spans="1:10" s="9" customFormat="1" ht="15" customHeight="1" x14ac:dyDescent="0.25">
      <c r="A137" s="141" t="s">
        <v>208</v>
      </c>
      <c r="B137" s="141"/>
      <c r="C137" s="54">
        <v>851</v>
      </c>
      <c r="D137" s="3" t="s">
        <v>202</v>
      </c>
      <c r="E137" s="3" t="s">
        <v>6</v>
      </c>
      <c r="F137" s="3" t="s">
        <v>217</v>
      </c>
      <c r="G137" s="3"/>
      <c r="H137" s="85">
        <f>H138</f>
        <v>6.0119999999999996</v>
      </c>
      <c r="I137" s="85">
        <f>I138</f>
        <v>0</v>
      </c>
      <c r="J137" s="85">
        <f>J138</f>
        <v>6.0119999999999996</v>
      </c>
    </row>
    <row r="138" spans="1:10" s="9" customFormat="1" ht="15" customHeight="1" x14ac:dyDescent="0.25">
      <c r="A138" s="55"/>
      <c r="B138" s="59" t="s">
        <v>101</v>
      </c>
      <c r="C138" s="54">
        <v>851</v>
      </c>
      <c r="D138" s="3" t="s">
        <v>202</v>
      </c>
      <c r="E138" s="3" t="s">
        <v>6</v>
      </c>
      <c r="F138" s="3" t="s">
        <v>217</v>
      </c>
      <c r="G138" s="3" t="s">
        <v>102</v>
      </c>
      <c r="H138" s="85">
        <v>6.0119999999999996</v>
      </c>
      <c r="I138" s="85"/>
      <c r="J138" s="85">
        <f>H138+I138</f>
        <v>6.0119999999999996</v>
      </c>
    </row>
    <row r="139" spans="1:10" s="9" customFormat="1" ht="15" customHeight="1" x14ac:dyDescent="0.25">
      <c r="A139" s="141" t="s">
        <v>210</v>
      </c>
      <c r="B139" s="141"/>
      <c r="C139" s="54">
        <v>851</v>
      </c>
      <c r="D139" s="3" t="s">
        <v>202</v>
      </c>
      <c r="E139" s="3" t="s">
        <v>6</v>
      </c>
      <c r="F139" s="3" t="s">
        <v>212</v>
      </c>
      <c r="G139" s="3"/>
      <c r="H139" s="85">
        <f>H140</f>
        <v>70</v>
      </c>
      <c r="I139" s="85">
        <f>I140</f>
        <v>0</v>
      </c>
      <c r="J139" s="85">
        <f>J140</f>
        <v>86</v>
      </c>
    </row>
    <row r="140" spans="1:10" s="9" customFormat="1" ht="15" customHeight="1" x14ac:dyDescent="0.25">
      <c r="A140" s="55"/>
      <c r="B140" s="59" t="s">
        <v>101</v>
      </c>
      <c r="C140" s="54">
        <v>851</v>
      </c>
      <c r="D140" s="3" t="s">
        <v>202</v>
      </c>
      <c r="E140" s="3" t="s">
        <v>6</v>
      </c>
      <c r="F140" s="3" t="s">
        <v>212</v>
      </c>
      <c r="G140" s="3" t="s">
        <v>102</v>
      </c>
      <c r="H140" s="85">
        <v>70</v>
      </c>
      <c r="I140" s="85"/>
      <c r="J140" s="85">
        <v>86</v>
      </c>
    </row>
    <row r="141" spans="1:10" s="1" customFormat="1" ht="28.5" customHeight="1" x14ac:dyDescent="0.25">
      <c r="A141" s="137" t="s">
        <v>639</v>
      </c>
      <c r="B141" s="138"/>
      <c r="C141" s="54">
        <v>851</v>
      </c>
      <c r="D141" s="3" t="s">
        <v>202</v>
      </c>
      <c r="E141" s="3" t="s">
        <v>6</v>
      </c>
      <c r="F141" s="3" t="s">
        <v>640</v>
      </c>
      <c r="G141" s="3"/>
      <c r="H141" s="85">
        <f>H142</f>
        <v>1884.9</v>
      </c>
      <c r="I141" s="85">
        <f>I142</f>
        <v>0</v>
      </c>
      <c r="J141" s="85">
        <f>J142</f>
        <v>1884.9</v>
      </c>
    </row>
    <row r="142" spans="1:10" s="1" customFormat="1" ht="18" customHeight="1" x14ac:dyDescent="0.25">
      <c r="A142" s="55"/>
      <c r="B142" s="59" t="s">
        <v>101</v>
      </c>
      <c r="C142" s="54">
        <v>851</v>
      </c>
      <c r="D142" s="3" t="s">
        <v>202</v>
      </c>
      <c r="E142" s="3" t="s">
        <v>6</v>
      </c>
      <c r="F142" s="3" t="s">
        <v>640</v>
      </c>
      <c r="G142" s="3" t="s">
        <v>102</v>
      </c>
      <c r="H142" s="85">
        <v>1884.9</v>
      </c>
      <c r="I142" s="85"/>
      <c r="J142" s="85">
        <f>H142+I142</f>
        <v>1884.9</v>
      </c>
    </row>
    <row r="143" spans="1:10" s="1" customFormat="1" ht="27.75" customHeight="1" x14ac:dyDescent="0.25">
      <c r="A143" s="137" t="s">
        <v>641</v>
      </c>
      <c r="B143" s="138"/>
      <c r="C143" s="54">
        <v>851</v>
      </c>
      <c r="D143" s="3" t="s">
        <v>202</v>
      </c>
      <c r="E143" s="3" t="s">
        <v>6</v>
      </c>
      <c r="F143" s="3" t="s">
        <v>642</v>
      </c>
      <c r="G143" s="3"/>
      <c r="H143" s="85">
        <f>H144</f>
        <v>52.103999999999999</v>
      </c>
      <c r="I143" s="85">
        <f>I144</f>
        <v>0</v>
      </c>
      <c r="J143" s="85">
        <f>J144</f>
        <v>52.103999999999999</v>
      </c>
    </row>
    <row r="144" spans="1:10" s="1" customFormat="1" ht="12.75" customHeight="1" x14ac:dyDescent="0.25">
      <c r="A144" s="55"/>
      <c r="B144" s="59" t="s">
        <v>101</v>
      </c>
      <c r="C144" s="54">
        <v>851</v>
      </c>
      <c r="D144" s="3" t="s">
        <v>202</v>
      </c>
      <c r="E144" s="3" t="s">
        <v>6</v>
      </c>
      <c r="F144" s="3" t="s">
        <v>642</v>
      </c>
      <c r="G144" s="3" t="s">
        <v>102</v>
      </c>
      <c r="H144" s="85">
        <v>52.103999999999999</v>
      </c>
      <c r="I144" s="85"/>
      <c r="J144" s="85">
        <f>H144+I144</f>
        <v>52.103999999999999</v>
      </c>
    </row>
    <row r="145" spans="1:10" s="1" customFormat="1" ht="26.25" customHeight="1" x14ac:dyDescent="0.25">
      <c r="A145" s="129" t="s">
        <v>643</v>
      </c>
      <c r="B145" s="129"/>
      <c r="C145" s="54">
        <v>851</v>
      </c>
      <c r="D145" s="3" t="s">
        <v>202</v>
      </c>
      <c r="E145" s="3" t="s">
        <v>6</v>
      </c>
      <c r="F145" s="3" t="s">
        <v>42</v>
      </c>
      <c r="G145" s="3"/>
      <c r="H145" s="85">
        <f>H146</f>
        <v>30</v>
      </c>
      <c r="I145" s="85">
        <f t="shared" ref="I145:J147" si="17">I146</f>
        <v>0</v>
      </c>
      <c r="J145" s="85">
        <f t="shared" si="17"/>
        <v>30</v>
      </c>
    </row>
    <row r="146" spans="1:10" s="1" customFormat="1" ht="27.75" customHeight="1" x14ac:dyDescent="0.25">
      <c r="A146" s="129" t="s">
        <v>43</v>
      </c>
      <c r="B146" s="129"/>
      <c r="C146" s="54">
        <v>851</v>
      </c>
      <c r="D146" s="3" t="s">
        <v>202</v>
      </c>
      <c r="E146" s="3" t="s">
        <v>6</v>
      </c>
      <c r="F146" s="3" t="s">
        <v>44</v>
      </c>
      <c r="G146" s="3"/>
      <c r="H146" s="85">
        <f>H147</f>
        <v>30</v>
      </c>
      <c r="I146" s="85">
        <f t="shared" si="17"/>
        <v>0</v>
      </c>
      <c r="J146" s="85">
        <f t="shared" si="17"/>
        <v>30</v>
      </c>
    </row>
    <row r="147" spans="1:10" s="1" customFormat="1" ht="39.75" customHeight="1" x14ac:dyDescent="0.25">
      <c r="A147" s="125" t="s">
        <v>644</v>
      </c>
      <c r="B147" s="125"/>
      <c r="C147" s="54">
        <v>851</v>
      </c>
      <c r="D147" s="3" t="s">
        <v>202</v>
      </c>
      <c r="E147" s="3" t="s">
        <v>6</v>
      </c>
      <c r="F147" s="3" t="s">
        <v>223</v>
      </c>
      <c r="G147" s="3"/>
      <c r="H147" s="85">
        <f>H148</f>
        <v>30</v>
      </c>
      <c r="I147" s="85">
        <f t="shared" si="17"/>
        <v>0</v>
      </c>
      <c r="J147" s="85">
        <f t="shared" si="17"/>
        <v>30</v>
      </c>
    </row>
    <row r="148" spans="1:10" s="1" customFormat="1" ht="18" customHeight="1" x14ac:dyDescent="0.25">
      <c r="A148" s="55"/>
      <c r="B148" s="59" t="s">
        <v>101</v>
      </c>
      <c r="C148" s="54">
        <v>851</v>
      </c>
      <c r="D148" s="3" t="s">
        <v>202</v>
      </c>
      <c r="E148" s="3" t="s">
        <v>6</v>
      </c>
      <c r="F148" s="3" t="s">
        <v>223</v>
      </c>
      <c r="G148" s="3" t="s">
        <v>102</v>
      </c>
      <c r="H148" s="85">
        <v>30</v>
      </c>
      <c r="I148" s="85"/>
      <c r="J148" s="85">
        <f>H148+I148</f>
        <v>30</v>
      </c>
    </row>
    <row r="149" spans="1:10" s="9" customFormat="1" ht="15.75" customHeight="1" x14ac:dyDescent="0.25">
      <c r="A149" s="129" t="s">
        <v>621</v>
      </c>
      <c r="B149" s="129"/>
      <c r="C149" s="54">
        <v>851</v>
      </c>
      <c r="D149" s="3" t="s">
        <v>202</v>
      </c>
      <c r="E149" s="3" t="s">
        <v>6</v>
      </c>
      <c r="F149" s="3" t="s">
        <v>47</v>
      </c>
      <c r="G149" s="3"/>
      <c r="H149" s="85">
        <f>H150+H152</f>
        <v>40</v>
      </c>
      <c r="I149" s="85">
        <f>I150+I152</f>
        <v>0</v>
      </c>
      <c r="J149" s="85">
        <f>J150+J152</f>
        <v>40</v>
      </c>
    </row>
    <row r="150" spans="1:10" s="9" customFormat="1" ht="27.75" customHeight="1" x14ac:dyDescent="0.25">
      <c r="A150" s="129" t="s">
        <v>645</v>
      </c>
      <c r="B150" s="129"/>
      <c r="C150" s="54">
        <v>851</v>
      </c>
      <c r="D150" s="3" t="s">
        <v>202</v>
      </c>
      <c r="E150" s="3" t="s">
        <v>6</v>
      </c>
      <c r="F150" s="3" t="s">
        <v>646</v>
      </c>
      <c r="G150" s="3"/>
      <c r="H150" s="85">
        <f>H151</f>
        <v>20</v>
      </c>
      <c r="I150" s="85">
        <f>I151</f>
        <v>0</v>
      </c>
      <c r="J150" s="85">
        <f>J151</f>
        <v>20</v>
      </c>
    </row>
    <row r="151" spans="1:10" s="9" customFormat="1" ht="27" customHeight="1" x14ac:dyDescent="0.25">
      <c r="A151" s="84"/>
      <c r="B151" s="59" t="s">
        <v>218</v>
      </c>
      <c r="C151" s="54">
        <v>851</v>
      </c>
      <c r="D151" s="3" t="s">
        <v>202</v>
      </c>
      <c r="E151" s="3" t="s">
        <v>6</v>
      </c>
      <c r="F151" s="3" t="s">
        <v>646</v>
      </c>
      <c r="G151" s="3" t="s">
        <v>219</v>
      </c>
      <c r="H151" s="85">
        <v>20</v>
      </c>
      <c r="I151" s="85"/>
      <c r="J151" s="85">
        <f>H151+I151</f>
        <v>20</v>
      </c>
    </row>
    <row r="152" spans="1:10" s="9" customFormat="1" ht="26.25" customHeight="1" x14ac:dyDescent="0.25">
      <c r="A152" s="129" t="s">
        <v>647</v>
      </c>
      <c r="B152" s="129"/>
      <c r="C152" s="54">
        <v>851</v>
      </c>
      <c r="D152" s="3" t="s">
        <v>202</v>
      </c>
      <c r="E152" s="3" t="s">
        <v>6</v>
      </c>
      <c r="F152" s="3" t="s">
        <v>648</v>
      </c>
      <c r="G152" s="3"/>
      <c r="H152" s="85">
        <f>H153</f>
        <v>20</v>
      </c>
      <c r="I152" s="85">
        <f>I153</f>
        <v>0</v>
      </c>
      <c r="J152" s="85">
        <f>J153</f>
        <v>20</v>
      </c>
    </row>
    <row r="153" spans="1:10" s="9" customFormat="1" ht="27" customHeight="1" x14ac:dyDescent="0.25">
      <c r="A153" s="84"/>
      <c r="B153" s="59" t="s">
        <v>218</v>
      </c>
      <c r="C153" s="54">
        <v>851</v>
      </c>
      <c r="D153" s="3" t="s">
        <v>202</v>
      </c>
      <c r="E153" s="3" t="s">
        <v>6</v>
      </c>
      <c r="F153" s="3" t="s">
        <v>648</v>
      </c>
      <c r="G153" s="3" t="s">
        <v>219</v>
      </c>
      <c r="H153" s="85">
        <v>20</v>
      </c>
      <c r="I153" s="85"/>
      <c r="J153" s="85">
        <f>H153+I153</f>
        <v>20</v>
      </c>
    </row>
    <row r="154" spans="1:10" s="39" customFormat="1" ht="16.5" customHeight="1" x14ac:dyDescent="0.25">
      <c r="A154" s="128" t="s">
        <v>220</v>
      </c>
      <c r="B154" s="128"/>
      <c r="C154" s="50">
        <v>851</v>
      </c>
      <c r="D154" s="81" t="s">
        <v>202</v>
      </c>
      <c r="E154" s="81" t="s">
        <v>18</v>
      </c>
      <c r="F154" s="81"/>
      <c r="G154" s="81"/>
      <c r="H154" s="86">
        <f>H155+H159</f>
        <v>325.89999999999998</v>
      </c>
      <c r="I154" s="86">
        <f>I155+I159</f>
        <v>0</v>
      </c>
      <c r="J154" s="86">
        <f>J155+J159</f>
        <v>309.88400000000001</v>
      </c>
    </row>
    <row r="155" spans="1:10" s="9" customFormat="1" ht="40.5" customHeight="1" x14ac:dyDescent="0.25">
      <c r="A155" s="129" t="s">
        <v>9</v>
      </c>
      <c r="B155" s="129"/>
      <c r="C155" s="54">
        <v>851</v>
      </c>
      <c r="D155" s="3" t="s">
        <v>202</v>
      </c>
      <c r="E155" s="3" t="s">
        <v>18</v>
      </c>
      <c r="F155" s="3" t="s">
        <v>19</v>
      </c>
      <c r="G155" s="3"/>
      <c r="H155" s="85">
        <f>H156</f>
        <v>315.89999999999998</v>
      </c>
      <c r="I155" s="85">
        <f t="shared" ref="I155:J157" si="18">I156</f>
        <v>0</v>
      </c>
      <c r="J155" s="85">
        <f t="shared" si="18"/>
        <v>299.88400000000001</v>
      </c>
    </row>
    <row r="156" spans="1:10" s="9" customFormat="1" ht="14.25" customHeight="1" x14ac:dyDescent="0.25">
      <c r="A156" s="129" t="s">
        <v>11</v>
      </c>
      <c r="B156" s="129"/>
      <c r="C156" s="54">
        <v>851</v>
      </c>
      <c r="D156" s="3" t="s">
        <v>202</v>
      </c>
      <c r="E156" s="3" t="s">
        <v>18</v>
      </c>
      <c r="F156" s="3" t="s">
        <v>12</v>
      </c>
      <c r="G156" s="3"/>
      <c r="H156" s="85">
        <f>H157</f>
        <v>315.89999999999998</v>
      </c>
      <c r="I156" s="85">
        <f t="shared" si="18"/>
        <v>0</v>
      </c>
      <c r="J156" s="85">
        <f t="shared" si="18"/>
        <v>299.88400000000001</v>
      </c>
    </row>
    <row r="157" spans="1:10" s="9" customFormat="1" ht="27" customHeight="1" x14ac:dyDescent="0.25">
      <c r="A157" s="129" t="s">
        <v>221</v>
      </c>
      <c r="B157" s="129"/>
      <c r="C157" s="54">
        <v>851</v>
      </c>
      <c r="D157" s="3" t="s">
        <v>202</v>
      </c>
      <c r="E157" s="3" t="s">
        <v>18</v>
      </c>
      <c r="F157" s="3" t="s">
        <v>222</v>
      </c>
      <c r="G157" s="3"/>
      <c r="H157" s="85">
        <f>H158</f>
        <v>315.89999999999998</v>
      </c>
      <c r="I157" s="85">
        <f t="shared" si="18"/>
        <v>0</v>
      </c>
      <c r="J157" s="85">
        <f t="shared" si="18"/>
        <v>299.88400000000001</v>
      </c>
    </row>
    <row r="158" spans="1:10" s="9" customFormat="1" ht="12.75" x14ac:dyDescent="0.25">
      <c r="A158" s="55"/>
      <c r="B158" s="84" t="s">
        <v>40</v>
      </c>
      <c r="C158" s="54">
        <v>851</v>
      </c>
      <c r="D158" s="3" t="s">
        <v>202</v>
      </c>
      <c r="E158" s="3" t="s">
        <v>18</v>
      </c>
      <c r="F158" s="3" t="s">
        <v>222</v>
      </c>
      <c r="G158" s="3" t="s">
        <v>41</v>
      </c>
      <c r="H158" s="85">
        <v>315.89999999999998</v>
      </c>
      <c r="I158" s="85"/>
      <c r="J158" s="85">
        <v>299.88400000000001</v>
      </c>
    </row>
    <row r="159" spans="1:10" s="9" customFormat="1" ht="15.75" customHeight="1" x14ac:dyDescent="0.25">
      <c r="A159" s="129" t="s">
        <v>545</v>
      </c>
      <c r="B159" s="129"/>
      <c r="C159" s="54">
        <v>851</v>
      </c>
      <c r="D159" s="3" t="s">
        <v>202</v>
      </c>
      <c r="E159" s="3" t="s">
        <v>18</v>
      </c>
      <c r="F159" s="3" t="s">
        <v>244</v>
      </c>
      <c r="G159" s="3"/>
      <c r="H159" s="85">
        <f>H160</f>
        <v>10</v>
      </c>
      <c r="I159" s="85">
        <f>I160</f>
        <v>0</v>
      </c>
      <c r="J159" s="85">
        <f>J160</f>
        <v>10</v>
      </c>
    </row>
    <row r="160" spans="1:10" s="9" customFormat="1" ht="28.5" customHeight="1" x14ac:dyDescent="0.25">
      <c r="A160" s="129" t="s">
        <v>651</v>
      </c>
      <c r="B160" s="129"/>
      <c r="C160" s="54">
        <v>851</v>
      </c>
      <c r="D160" s="3" t="s">
        <v>202</v>
      </c>
      <c r="E160" s="3" t="s">
        <v>18</v>
      </c>
      <c r="F160" s="3" t="s">
        <v>652</v>
      </c>
      <c r="G160" s="3"/>
      <c r="H160" s="85">
        <f>H162+H161</f>
        <v>10</v>
      </c>
      <c r="I160" s="85">
        <f>I162+I161</f>
        <v>0</v>
      </c>
      <c r="J160" s="85">
        <f>J162+J161</f>
        <v>10</v>
      </c>
    </row>
    <row r="161" spans="1:10" s="9" customFormat="1" ht="27" customHeight="1" x14ac:dyDescent="0.25">
      <c r="A161" s="84"/>
      <c r="B161" s="59" t="s">
        <v>218</v>
      </c>
      <c r="C161" s="54">
        <v>851</v>
      </c>
      <c r="D161" s="3" t="s">
        <v>202</v>
      </c>
      <c r="E161" s="3" t="s">
        <v>18</v>
      </c>
      <c r="F161" s="3" t="s">
        <v>652</v>
      </c>
      <c r="G161" s="3" t="s">
        <v>219</v>
      </c>
      <c r="H161" s="85">
        <v>0</v>
      </c>
      <c r="I161" s="85">
        <v>10</v>
      </c>
      <c r="J161" s="85">
        <f>H161+I161</f>
        <v>10</v>
      </c>
    </row>
    <row r="162" spans="1:10" s="9" customFormat="1" ht="17.25" customHeight="1" x14ac:dyDescent="0.25">
      <c r="A162" s="55"/>
      <c r="B162" s="84" t="s">
        <v>40</v>
      </c>
      <c r="C162" s="54">
        <v>851</v>
      </c>
      <c r="D162" s="3" t="s">
        <v>202</v>
      </c>
      <c r="E162" s="3" t="s">
        <v>18</v>
      </c>
      <c r="F162" s="3" t="s">
        <v>652</v>
      </c>
      <c r="G162" s="3" t="s">
        <v>41</v>
      </c>
      <c r="H162" s="85">
        <v>10</v>
      </c>
      <c r="I162" s="85">
        <v>-10</v>
      </c>
      <c r="J162" s="85">
        <f>H162+I162</f>
        <v>0</v>
      </c>
    </row>
    <row r="163" spans="1:10" s="39" customFormat="1" ht="16.5" customHeight="1" x14ac:dyDescent="0.25">
      <c r="A163" s="128" t="s">
        <v>224</v>
      </c>
      <c r="B163" s="128"/>
      <c r="C163" s="50">
        <v>851</v>
      </c>
      <c r="D163" s="81" t="s">
        <v>46</v>
      </c>
      <c r="E163" s="81"/>
      <c r="F163" s="81"/>
      <c r="G163" s="81"/>
      <c r="H163" s="86">
        <f>H164+H168+H175</f>
        <v>1563.4</v>
      </c>
      <c r="I163" s="86">
        <f>I164+I168+I175</f>
        <v>20</v>
      </c>
      <c r="J163" s="86">
        <f>J164+J168+J175</f>
        <v>1569.5319999999999</v>
      </c>
    </row>
    <row r="164" spans="1:10" s="6" customFormat="1" ht="15" customHeight="1" x14ac:dyDescent="0.25">
      <c r="A164" s="128" t="s">
        <v>225</v>
      </c>
      <c r="B164" s="128"/>
      <c r="C164" s="50">
        <v>851</v>
      </c>
      <c r="D164" s="81" t="s">
        <v>46</v>
      </c>
      <c r="E164" s="81" t="s">
        <v>6</v>
      </c>
      <c r="F164" s="81"/>
      <c r="G164" s="81"/>
      <c r="H164" s="85">
        <f>H165</f>
        <v>1257.4000000000001</v>
      </c>
      <c r="I164" s="85">
        <f t="shared" ref="I164:J166" si="19">I165</f>
        <v>0</v>
      </c>
      <c r="J164" s="85">
        <f t="shared" si="19"/>
        <v>1242.798</v>
      </c>
    </row>
    <row r="165" spans="1:10" s="1" customFormat="1" ht="16.5" customHeight="1" x14ac:dyDescent="0.25">
      <c r="A165" s="129" t="s">
        <v>226</v>
      </c>
      <c r="B165" s="129"/>
      <c r="C165" s="54">
        <v>851</v>
      </c>
      <c r="D165" s="3" t="s">
        <v>46</v>
      </c>
      <c r="E165" s="3" t="s">
        <v>6</v>
      </c>
      <c r="F165" s="3" t="s">
        <v>227</v>
      </c>
      <c r="G165" s="3"/>
      <c r="H165" s="85">
        <f>H166</f>
        <v>1257.4000000000001</v>
      </c>
      <c r="I165" s="85">
        <f t="shared" si="19"/>
        <v>0</v>
      </c>
      <c r="J165" s="85">
        <f t="shared" si="19"/>
        <v>1242.798</v>
      </c>
    </row>
    <row r="166" spans="1:10" s="1" customFormat="1" ht="27" customHeight="1" x14ac:dyDescent="0.25">
      <c r="A166" s="129" t="s">
        <v>228</v>
      </c>
      <c r="B166" s="129"/>
      <c r="C166" s="54">
        <v>851</v>
      </c>
      <c r="D166" s="3" t="s">
        <v>46</v>
      </c>
      <c r="E166" s="3" t="s">
        <v>6</v>
      </c>
      <c r="F166" s="3" t="s">
        <v>229</v>
      </c>
      <c r="G166" s="3"/>
      <c r="H166" s="85">
        <f>H167</f>
        <v>1257.4000000000001</v>
      </c>
      <c r="I166" s="85">
        <f t="shared" si="19"/>
        <v>0</v>
      </c>
      <c r="J166" s="85">
        <f t="shared" si="19"/>
        <v>1242.798</v>
      </c>
    </row>
    <row r="167" spans="1:10" s="1" customFormat="1" ht="15.75" customHeight="1" x14ac:dyDescent="0.25">
      <c r="A167" s="91"/>
      <c r="B167" s="59" t="s">
        <v>230</v>
      </c>
      <c r="C167" s="54">
        <v>851</v>
      </c>
      <c r="D167" s="3" t="s">
        <v>46</v>
      </c>
      <c r="E167" s="3" t="s">
        <v>6</v>
      </c>
      <c r="F167" s="3" t="s">
        <v>229</v>
      </c>
      <c r="G167" s="3" t="s">
        <v>231</v>
      </c>
      <c r="H167" s="85">
        <v>1257.4000000000001</v>
      </c>
      <c r="I167" s="85"/>
      <c r="J167" s="85">
        <v>1242.798</v>
      </c>
    </row>
    <row r="168" spans="1:10" s="6" customFormat="1" ht="18.75" customHeight="1" x14ac:dyDescent="0.25">
      <c r="A168" s="128" t="s">
        <v>232</v>
      </c>
      <c r="B168" s="128"/>
      <c r="C168" s="50">
        <v>851</v>
      </c>
      <c r="D168" s="81" t="s">
        <v>46</v>
      </c>
      <c r="E168" s="81" t="s">
        <v>8</v>
      </c>
      <c r="F168" s="81"/>
      <c r="G168" s="81"/>
      <c r="H168" s="86">
        <f>H169+H172</f>
        <v>31</v>
      </c>
      <c r="I168" s="86">
        <f>I169+I172</f>
        <v>20</v>
      </c>
      <c r="J168" s="86">
        <f>J169+J172</f>
        <v>85.5</v>
      </c>
    </row>
    <row r="169" spans="1:10" s="1" customFormat="1" ht="15.75" customHeight="1" x14ac:dyDescent="0.25">
      <c r="A169" s="129" t="s">
        <v>26</v>
      </c>
      <c r="B169" s="129"/>
      <c r="C169" s="54">
        <v>851</v>
      </c>
      <c r="D169" s="3" t="s">
        <v>46</v>
      </c>
      <c r="E169" s="3" t="s">
        <v>8</v>
      </c>
      <c r="F169" s="3" t="s">
        <v>28</v>
      </c>
      <c r="G169" s="3"/>
      <c r="H169" s="85">
        <f t="shared" ref="H169:J170" si="20">H170</f>
        <v>6</v>
      </c>
      <c r="I169" s="85">
        <f t="shared" si="20"/>
        <v>20</v>
      </c>
      <c r="J169" s="85">
        <f t="shared" si="20"/>
        <v>60.5</v>
      </c>
    </row>
    <row r="170" spans="1:10" s="1" customFormat="1" ht="15.75" customHeight="1" x14ac:dyDescent="0.25">
      <c r="A170" s="129" t="s">
        <v>29</v>
      </c>
      <c r="B170" s="129"/>
      <c r="C170" s="54">
        <v>851</v>
      </c>
      <c r="D170" s="3" t="s">
        <v>46</v>
      </c>
      <c r="E170" s="3" t="s">
        <v>8</v>
      </c>
      <c r="F170" s="3" t="s">
        <v>30</v>
      </c>
      <c r="G170" s="3"/>
      <c r="H170" s="85">
        <f t="shared" si="20"/>
        <v>6</v>
      </c>
      <c r="I170" s="85">
        <f t="shared" si="20"/>
        <v>20</v>
      </c>
      <c r="J170" s="85">
        <f t="shared" si="20"/>
        <v>60.5</v>
      </c>
    </row>
    <row r="171" spans="1:10" s="1" customFormat="1" ht="15.75" customHeight="1" x14ac:dyDescent="0.25">
      <c r="A171" s="55"/>
      <c r="B171" s="59" t="s">
        <v>31</v>
      </c>
      <c r="C171" s="54">
        <v>851</v>
      </c>
      <c r="D171" s="3" t="s">
        <v>46</v>
      </c>
      <c r="E171" s="3" t="s">
        <v>8</v>
      </c>
      <c r="F171" s="3" t="s">
        <v>30</v>
      </c>
      <c r="G171" s="3" t="s">
        <v>32</v>
      </c>
      <c r="H171" s="85">
        <v>6</v>
      </c>
      <c r="I171" s="85">
        <v>20</v>
      </c>
      <c r="J171" s="85">
        <v>60.5</v>
      </c>
    </row>
    <row r="172" spans="1:10" s="1" customFormat="1" ht="15" customHeight="1" x14ac:dyDescent="0.25">
      <c r="A172" s="129" t="s">
        <v>233</v>
      </c>
      <c r="B172" s="129"/>
      <c r="C172" s="54">
        <v>851</v>
      </c>
      <c r="D172" s="3" t="s">
        <v>46</v>
      </c>
      <c r="E172" s="3" t="s">
        <v>8</v>
      </c>
      <c r="F172" s="3" t="s">
        <v>234</v>
      </c>
      <c r="G172" s="3"/>
      <c r="H172" s="85">
        <f t="shared" ref="H172:J173" si="21">H173</f>
        <v>25</v>
      </c>
      <c r="I172" s="85">
        <f t="shared" si="21"/>
        <v>0</v>
      </c>
      <c r="J172" s="85">
        <f t="shared" si="21"/>
        <v>25</v>
      </c>
    </row>
    <row r="173" spans="1:10" s="1" customFormat="1" ht="15.75" customHeight="1" x14ac:dyDescent="0.25">
      <c r="A173" s="129" t="s">
        <v>235</v>
      </c>
      <c r="B173" s="129"/>
      <c r="C173" s="54">
        <v>851</v>
      </c>
      <c r="D173" s="3" t="s">
        <v>46</v>
      </c>
      <c r="E173" s="3" t="s">
        <v>8</v>
      </c>
      <c r="F173" s="3" t="s">
        <v>236</v>
      </c>
      <c r="G173" s="3"/>
      <c r="H173" s="85">
        <f t="shared" si="21"/>
        <v>25</v>
      </c>
      <c r="I173" s="85">
        <f t="shared" si="21"/>
        <v>0</v>
      </c>
      <c r="J173" s="85">
        <f t="shared" si="21"/>
        <v>25</v>
      </c>
    </row>
    <row r="174" spans="1:10" s="1" customFormat="1" ht="15.75" customHeight="1" x14ac:dyDescent="0.25">
      <c r="A174" s="59"/>
      <c r="B174" s="59" t="s">
        <v>31</v>
      </c>
      <c r="C174" s="54">
        <v>851</v>
      </c>
      <c r="D174" s="3" t="s">
        <v>46</v>
      </c>
      <c r="E174" s="3" t="s">
        <v>8</v>
      </c>
      <c r="F174" s="3" t="s">
        <v>236</v>
      </c>
      <c r="G174" s="3" t="s">
        <v>32</v>
      </c>
      <c r="H174" s="85">
        <v>25</v>
      </c>
      <c r="I174" s="85"/>
      <c r="J174" s="85">
        <f>H174+I174</f>
        <v>25</v>
      </c>
    </row>
    <row r="175" spans="1:10" s="6" customFormat="1" ht="17.25" customHeight="1" x14ac:dyDescent="0.25">
      <c r="A175" s="128" t="s">
        <v>264</v>
      </c>
      <c r="B175" s="128"/>
      <c r="C175" s="54">
        <v>851</v>
      </c>
      <c r="D175" s="81" t="s">
        <v>46</v>
      </c>
      <c r="E175" s="81" t="s">
        <v>23</v>
      </c>
      <c r="F175" s="81"/>
      <c r="G175" s="86"/>
      <c r="H175" s="86">
        <f>H176</f>
        <v>275</v>
      </c>
      <c r="I175" s="86">
        <f t="shared" ref="I175:J177" si="22">I176</f>
        <v>0</v>
      </c>
      <c r="J175" s="86">
        <f t="shared" si="22"/>
        <v>241.23400000000001</v>
      </c>
    </row>
    <row r="176" spans="1:10" s="1" customFormat="1" ht="14.25" customHeight="1" x14ac:dyDescent="0.25">
      <c r="A176" s="129" t="s">
        <v>545</v>
      </c>
      <c r="B176" s="129"/>
      <c r="C176" s="54">
        <v>851</v>
      </c>
      <c r="D176" s="3" t="s">
        <v>46</v>
      </c>
      <c r="E176" s="3" t="s">
        <v>23</v>
      </c>
      <c r="F176" s="3" t="s">
        <v>690</v>
      </c>
      <c r="G176" s="3"/>
      <c r="H176" s="85">
        <f>H177</f>
        <v>275</v>
      </c>
      <c r="I176" s="85">
        <f t="shared" si="22"/>
        <v>0</v>
      </c>
      <c r="J176" s="85">
        <f t="shared" si="22"/>
        <v>241.23400000000001</v>
      </c>
    </row>
    <row r="177" spans="1:10" s="1" customFormat="1" ht="27.75" customHeight="1" x14ac:dyDescent="0.25">
      <c r="A177" s="134" t="s">
        <v>663</v>
      </c>
      <c r="B177" s="134"/>
      <c r="C177" s="54">
        <v>851</v>
      </c>
      <c r="D177" s="3" t="s">
        <v>46</v>
      </c>
      <c r="E177" s="3" t="s">
        <v>23</v>
      </c>
      <c r="F177" s="3" t="s">
        <v>664</v>
      </c>
      <c r="G177" s="3"/>
      <c r="H177" s="85">
        <f>H178</f>
        <v>275</v>
      </c>
      <c r="I177" s="85">
        <f t="shared" si="22"/>
        <v>0</v>
      </c>
      <c r="J177" s="85">
        <f t="shared" si="22"/>
        <v>241.23400000000001</v>
      </c>
    </row>
    <row r="178" spans="1:10" s="1" customFormat="1" ht="16.5" customHeight="1" x14ac:dyDescent="0.25">
      <c r="A178" s="55"/>
      <c r="B178" s="59" t="s">
        <v>235</v>
      </c>
      <c r="C178" s="54">
        <v>851</v>
      </c>
      <c r="D178" s="37">
        <v>10</v>
      </c>
      <c r="E178" s="3" t="s">
        <v>23</v>
      </c>
      <c r="F178" s="3" t="s">
        <v>664</v>
      </c>
      <c r="G178" s="3" t="s">
        <v>265</v>
      </c>
      <c r="H178" s="85">
        <v>275</v>
      </c>
      <c r="I178" s="85"/>
      <c r="J178" s="85">
        <v>241.23400000000001</v>
      </c>
    </row>
    <row r="179" spans="1:10" s="6" customFormat="1" ht="18" customHeight="1" x14ac:dyDescent="0.25">
      <c r="A179" s="128" t="s">
        <v>266</v>
      </c>
      <c r="B179" s="128"/>
      <c r="C179" s="50">
        <v>851</v>
      </c>
      <c r="D179" s="81" t="s">
        <v>27</v>
      </c>
      <c r="E179" s="81"/>
      <c r="F179" s="81"/>
      <c r="G179" s="81"/>
      <c r="H179" s="86">
        <f>H180</f>
        <v>424</v>
      </c>
      <c r="I179" s="86">
        <f t="shared" ref="I179:J181" si="23">I180</f>
        <v>0</v>
      </c>
      <c r="J179" s="86">
        <f t="shared" si="23"/>
        <v>424</v>
      </c>
    </row>
    <row r="180" spans="1:10" s="6" customFormat="1" ht="12.75" x14ac:dyDescent="0.25">
      <c r="A180" s="142" t="s">
        <v>267</v>
      </c>
      <c r="B180" s="142"/>
      <c r="C180" s="50">
        <v>851</v>
      </c>
      <c r="D180" s="81" t="s">
        <v>27</v>
      </c>
      <c r="E180" s="81" t="s">
        <v>51</v>
      </c>
      <c r="F180" s="81"/>
      <c r="G180" s="81"/>
      <c r="H180" s="86">
        <f>H181</f>
        <v>424</v>
      </c>
      <c r="I180" s="86">
        <f t="shared" si="23"/>
        <v>0</v>
      </c>
      <c r="J180" s="86">
        <f t="shared" si="23"/>
        <v>424</v>
      </c>
    </row>
    <row r="181" spans="1:10" s="1" customFormat="1" ht="15.75" customHeight="1" x14ac:dyDescent="0.25">
      <c r="A181" s="129" t="s">
        <v>268</v>
      </c>
      <c r="B181" s="129"/>
      <c r="C181" s="54">
        <v>851</v>
      </c>
      <c r="D181" s="3" t="s">
        <v>27</v>
      </c>
      <c r="E181" s="3" t="s">
        <v>51</v>
      </c>
      <c r="F181" s="3" t="s">
        <v>269</v>
      </c>
      <c r="G181" s="3"/>
      <c r="H181" s="85">
        <f>H182</f>
        <v>424</v>
      </c>
      <c r="I181" s="85">
        <f t="shared" si="23"/>
        <v>0</v>
      </c>
      <c r="J181" s="85">
        <f t="shared" si="23"/>
        <v>424</v>
      </c>
    </row>
    <row r="182" spans="1:10" s="1" customFormat="1" ht="24.75" customHeight="1" x14ac:dyDescent="0.25">
      <c r="A182" s="129" t="s">
        <v>270</v>
      </c>
      <c r="B182" s="129"/>
      <c r="C182" s="54">
        <v>851</v>
      </c>
      <c r="D182" s="3" t="s">
        <v>27</v>
      </c>
      <c r="E182" s="3" t="s">
        <v>51</v>
      </c>
      <c r="F182" s="3" t="s">
        <v>271</v>
      </c>
      <c r="G182" s="3"/>
      <c r="H182" s="85">
        <f>H183+H185</f>
        <v>424</v>
      </c>
      <c r="I182" s="85">
        <f>I183+I185</f>
        <v>0</v>
      </c>
      <c r="J182" s="85">
        <f>J183+J185</f>
        <v>424</v>
      </c>
    </row>
    <row r="183" spans="1:10" s="1" customFormat="1" ht="27" customHeight="1" x14ac:dyDescent="0.25">
      <c r="A183" s="129" t="s">
        <v>272</v>
      </c>
      <c r="B183" s="129"/>
      <c r="C183" s="54">
        <v>851</v>
      </c>
      <c r="D183" s="3" t="s">
        <v>27</v>
      </c>
      <c r="E183" s="3" t="s">
        <v>51</v>
      </c>
      <c r="F183" s="3" t="s">
        <v>273</v>
      </c>
      <c r="G183" s="3"/>
      <c r="H183" s="85">
        <f>H184</f>
        <v>40</v>
      </c>
      <c r="I183" s="85">
        <f>I184</f>
        <v>0</v>
      </c>
      <c r="J183" s="85">
        <f>J184</f>
        <v>40</v>
      </c>
    </row>
    <row r="184" spans="1:10" s="1" customFormat="1" ht="16.5" customHeight="1" x14ac:dyDescent="0.25">
      <c r="A184" s="84"/>
      <c r="B184" s="84" t="s">
        <v>40</v>
      </c>
      <c r="C184" s="54">
        <v>851</v>
      </c>
      <c r="D184" s="3" t="s">
        <v>27</v>
      </c>
      <c r="E184" s="3" t="s">
        <v>51</v>
      </c>
      <c r="F184" s="3" t="s">
        <v>273</v>
      </c>
      <c r="G184" s="3" t="s">
        <v>41</v>
      </c>
      <c r="H184" s="85">
        <v>40</v>
      </c>
      <c r="I184" s="85"/>
      <c r="J184" s="85">
        <f>H184+I184</f>
        <v>40</v>
      </c>
    </row>
    <row r="185" spans="1:10" s="1" customFormat="1" ht="15" customHeight="1" x14ac:dyDescent="0.25">
      <c r="A185" s="129" t="s">
        <v>665</v>
      </c>
      <c r="B185" s="129"/>
      <c r="C185" s="54">
        <v>851</v>
      </c>
      <c r="D185" s="3" t="s">
        <v>27</v>
      </c>
      <c r="E185" s="3" t="s">
        <v>51</v>
      </c>
      <c r="F185" s="3" t="s">
        <v>274</v>
      </c>
      <c r="G185" s="3"/>
      <c r="H185" s="85">
        <f>H186</f>
        <v>384</v>
      </c>
      <c r="I185" s="85">
        <f>I186</f>
        <v>0</v>
      </c>
      <c r="J185" s="85">
        <f>J186</f>
        <v>384</v>
      </c>
    </row>
    <row r="186" spans="1:10" s="1" customFormat="1" ht="16.5" customHeight="1" x14ac:dyDescent="0.25">
      <c r="A186" s="84"/>
      <c r="B186" s="84" t="s">
        <v>40</v>
      </c>
      <c r="C186" s="54">
        <v>851</v>
      </c>
      <c r="D186" s="3" t="s">
        <v>27</v>
      </c>
      <c r="E186" s="3" t="s">
        <v>51</v>
      </c>
      <c r="F186" s="3" t="s">
        <v>274</v>
      </c>
      <c r="G186" s="3" t="s">
        <v>41</v>
      </c>
      <c r="H186" s="85">
        <v>384</v>
      </c>
      <c r="I186" s="85"/>
      <c r="J186" s="85">
        <f>H186+I186</f>
        <v>384</v>
      </c>
    </row>
    <row r="187" spans="1:10" s="109" customFormat="1" ht="27" customHeight="1" x14ac:dyDescent="0.2">
      <c r="A187" s="145" t="s">
        <v>691</v>
      </c>
      <c r="B187" s="146"/>
      <c r="C187" s="106">
        <v>852</v>
      </c>
      <c r="D187" s="107"/>
      <c r="E187" s="107"/>
      <c r="F187" s="107"/>
      <c r="G187" s="107"/>
      <c r="H187" s="108">
        <f>H188+H350</f>
        <v>102062.3</v>
      </c>
      <c r="I187" s="108">
        <f>I188+I350</f>
        <v>5176.5709999999999</v>
      </c>
      <c r="J187" s="108">
        <f>J188+J350</f>
        <v>106078.067</v>
      </c>
    </row>
    <row r="188" spans="1:10" s="4" customFormat="1" ht="16.5" customHeight="1" x14ac:dyDescent="0.25">
      <c r="A188" s="132" t="s">
        <v>92</v>
      </c>
      <c r="B188" s="132"/>
      <c r="C188" s="50">
        <v>852</v>
      </c>
      <c r="D188" s="79" t="s">
        <v>93</v>
      </c>
      <c r="E188" s="79"/>
      <c r="F188" s="79"/>
      <c r="G188" s="79"/>
      <c r="H188" s="80">
        <f>H189+H216+H306+H310</f>
        <v>96305.600000000006</v>
      </c>
      <c r="I188" s="80">
        <f>I189+I216+I306+I310</f>
        <v>4520.2709999999997</v>
      </c>
      <c r="J188" s="80">
        <f>J189+J216+J306+J310</f>
        <v>98826.574999999997</v>
      </c>
    </row>
    <row r="189" spans="1:10" s="6" customFormat="1" ht="15" customHeight="1" x14ac:dyDescent="0.25">
      <c r="A189" s="128" t="s">
        <v>94</v>
      </c>
      <c r="B189" s="128"/>
      <c r="C189" s="50">
        <v>852</v>
      </c>
      <c r="D189" s="81" t="s">
        <v>93</v>
      </c>
      <c r="E189" s="81" t="s">
        <v>6</v>
      </c>
      <c r="F189" s="81"/>
      <c r="G189" s="81"/>
      <c r="H189" s="86">
        <f>H190+H193+H207</f>
        <v>15668.8</v>
      </c>
      <c r="I189" s="86">
        <f>I190+I193+I207</f>
        <v>217.6</v>
      </c>
      <c r="J189" s="86">
        <f>J190+J193+J207</f>
        <v>15586.995000000001</v>
      </c>
    </row>
    <row r="190" spans="1:10" s="1" customFormat="1" ht="15.75" customHeight="1" x14ac:dyDescent="0.25">
      <c r="A190" s="129" t="s">
        <v>26</v>
      </c>
      <c r="B190" s="129"/>
      <c r="C190" s="54">
        <v>852</v>
      </c>
      <c r="D190" s="3" t="s">
        <v>93</v>
      </c>
      <c r="E190" s="3" t="s">
        <v>6</v>
      </c>
      <c r="F190" s="3" t="s">
        <v>28</v>
      </c>
      <c r="G190" s="3"/>
      <c r="H190" s="85">
        <f t="shared" ref="H190:J191" si="24">H191</f>
        <v>500</v>
      </c>
      <c r="I190" s="85">
        <f t="shared" si="24"/>
        <v>0</v>
      </c>
      <c r="J190" s="85">
        <f t="shared" si="24"/>
        <v>500</v>
      </c>
    </row>
    <row r="191" spans="1:10" s="1" customFormat="1" ht="25.5" customHeight="1" x14ac:dyDescent="0.25">
      <c r="A191" s="129" t="s">
        <v>557</v>
      </c>
      <c r="B191" s="129"/>
      <c r="C191" s="54">
        <v>852</v>
      </c>
      <c r="D191" s="3" t="s">
        <v>93</v>
      </c>
      <c r="E191" s="3" t="s">
        <v>6</v>
      </c>
      <c r="F191" s="3" t="s">
        <v>558</v>
      </c>
      <c r="G191" s="3"/>
      <c r="H191" s="85">
        <f t="shared" si="24"/>
        <v>500</v>
      </c>
      <c r="I191" s="85">
        <f t="shared" si="24"/>
        <v>0</v>
      </c>
      <c r="J191" s="85">
        <f t="shared" si="24"/>
        <v>500</v>
      </c>
    </row>
    <row r="192" spans="1:10" s="1" customFormat="1" ht="15.75" customHeight="1" x14ac:dyDescent="0.25">
      <c r="A192" s="55"/>
      <c r="B192" s="59" t="s">
        <v>31</v>
      </c>
      <c r="C192" s="54">
        <v>852</v>
      </c>
      <c r="D192" s="3" t="s">
        <v>93</v>
      </c>
      <c r="E192" s="3" t="s">
        <v>6</v>
      </c>
      <c r="F192" s="3" t="s">
        <v>558</v>
      </c>
      <c r="G192" s="3" t="s">
        <v>32</v>
      </c>
      <c r="H192" s="85">
        <v>500</v>
      </c>
      <c r="I192" s="85"/>
      <c r="J192" s="85">
        <f>I192+H192</f>
        <v>500</v>
      </c>
    </row>
    <row r="193" spans="1:15" s="1" customFormat="1" ht="12.75" customHeight="1" x14ac:dyDescent="0.25">
      <c r="A193" s="129" t="s">
        <v>95</v>
      </c>
      <c r="B193" s="129"/>
      <c r="C193" s="54">
        <v>852</v>
      </c>
      <c r="D193" s="3" t="s">
        <v>93</v>
      </c>
      <c r="E193" s="3" t="s">
        <v>6</v>
      </c>
      <c r="F193" s="3" t="s">
        <v>96</v>
      </c>
      <c r="G193" s="3"/>
      <c r="H193" s="85">
        <f>H194</f>
        <v>14623</v>
      </c>
      <c r="I193" s="85">
        <f>I194</f>
        <v>-12.4</v>
      </c>
      <c r="J193" s="85">
        <f>J194</f>
        <v>13472.395</v>
      </c>
    </row>
    <row r="194" spans="1:15" s="1" customFormat="1" ht="17.25" customHeight="1" x14ac:dyDescent="0.25">
      <c r="A194" s="129" t="s">
        <v>97</v>
      </c>
      <c r="B194" s="129"/>
      <c r="C194" s="54">
        <v>852</v>
      </c>
      <c r="D194" s="3" t="s">
        <v>93</v>
      </c>
      <c r="E194" s="3" t="s">
        <v>6</v>
      </c>
      <c r="F194" s="3" t="s">
        <v>98</v>
      </c>
      <c r="G194" s="3"/>
      <c r="H194" s="85">
        <f>H195+H197+H199+H201+H203+H205</f>
        <v>14623</v>
      </c>
      <c r="I194" s="85">
        <f>I195+I197+I199+I201+I203+I205</f>
        <v>-12.4</v>
      </c>
      <c r="J194" s="85">
        <f>J195+J197+J199+J201+J203+J205</f>
        <v>13472.395</v>
      </c>
    </row>
    <row r="195" spans="1:15" s="1" customFormat="1" ht="15.75" customHeight="1" x14ac:dyDescent="0.25">
      <c r="A195" s="129" t="s">
        <v>99</v>
      </c>
      <c r="B195" s="129"/>
      <c r="C195" s="54">
        <v>852</v>
      </c>
      <c r="D195" s="3" t="s">
        <v>93</v>
      </c>
      <c r="E195" s="3" t="s">
        <v>6</v>
      </c>
      <c r="F195" s="3" t="s">
        <v>100</v>
      </c>
      <c r="G195" s="3"/>
      <c r="H195" s="85">
        <f>H196</f>
        <v>10837.1</v>
      </c>
      <c r="I195" s="85">
        <f>I196</f>
        <v>0</v>
      </c>
      <c r="J195" s="85">
        <f>J196</f>
        <v>9800.3880000000008</v>
      </c>
    </row>
    <row r="196" spans="1:15" s="1" customFormat="1" ht="18" customHeight="1" x14ac:dyDescent="0.25">
      <c r="A196" s="55"/>
      <c r="B196" s="59" t="s">
        <v>101</v>
      </c>
      <c r="C196" s="54">
        <v>852</v>
      </c>
      <c r="D196" s="3" t="s">
        <v>93</v>
      </c>
      <c r="E196" s="3" t="s">
        <v>6</v>
      </c>
      <c r="F196" s="3" t="s">
        <v>100</v>
      </c>
      <c r="G196" s="3" t="s">
        <v>102</v>
      </c>
      <c r="H196" s="85">
        <v>10837.1</v>
      </c>
      <c r="I196" s="85"/>
      <c r="J196" s="85">
        <v>9800.3880000000008</v>
      </c>
    </row>
    <row r="197" spans="1:15" s="1" customFormat="1" ht="14.25" customHeight="1" x14ac:dyDescent="0.25">
      <c r="A197" s="129" t="s">
        <v>103</v>
      </c>
      <c r="B197" s="129"/>
      <c r="C197" s="54">
        <v>852</v>
      </c>
      <c r="D197" s="88" t="s">
        <v>93</v>
      </c>
      <c r="E197" s="88" t="s">
        <v>6</v>
      </c>
      <c r="F197" s="88" t="s">
        <v>104</v>
      </c>
      <c r="G197" s="3"/>
      <c r="H197" s="85">
        <f>H198</f>
        <v>2236.5</v>
      </c>
      <c r="I197" s="85">
        <f>I198</f>
        <v>0</v>
      </c>
      <c r="J197" s="85">
        <f>J198</f>
        <v>2063.114</v>
      </c>
    </row>
    <row r="198" spans="1:15" s="1" customFormat="1" ht="18" customHeight="1" x14ac:dyDescent="0.25">
      <c r="A198" s="55"/>
      <c r="B198" s="59" t="s">
        <v>101</v>
      </c>
      <c r="C198" s="54">
        <v>852</v>
      </c>
      <c r="D198" s="3" t="s">
        <v>93</v>
      </c>
      <c r="E198" s="3" t="s">
        <v>6</v>
      </c>
      <c r="F198" s="3" t="s">
        <v>104</v>
      </c>
      <c r="G198" s="3" t="s">
        <v>102</v>
      </c>
      <c r="H198" s="85">
        <v>2236.5</v>
      </c>
      <c r="I198" s="85"/>
      <c r="J198" s="85">
        <v>2063.114</v>
      </c>
    </row>
    <row r="199" spans="1:15" s="1" customFormat="1" ht="17.25" customHeight="1" x14ac:dyDescent="0.25">
      <c r="A199" s="129" t="s">
        <v>105</v>
      </c>
      <c r="B199" s="129"/>
      <c r="C199" s="54">
        <v>852</v>
      </c>
      <c r="D199" s="88" t="s">
        <v>93</v>
      </c>
      <c r="E199" s="88" t="s">
        <v>6</v>
      </c>
      <c r="F199" s="88" t="s">
        <v>106</v>
      </c>
      <c r="G199" s="3"/>
      <c r="H199" s="85">
        <f>H200</f>
        <v>500</v>
      </c>
      <c r="I199" s="85">
        <f>I200</f>
        <v>0</v>
      </c>
      <c r="J199" s="85">
        <f>J200</f>
        <v>500</v>
      </c>
    </row>
    <row r="200" spans="1:15" s="1" customFormat="1" ht="18" customHeight="1" x14ac:dyDescent="0.25">
      <c r="A200" s="55"/>
      <c r="B200" s="59" t="s">
        <v>101</v>
      </c>
      <c r="C200" s="54">
        <v>852</v>
      </c>
      <c r="D200" s="3" t="s">
        <v>93</v>
      </c>
      <c r="E200" s="3" t="s">
        <v>6</v>
      </c>
      <c r="F200" s="3" t="s">
        <v>106</v>
      </c>
      <c r="G200" s="3" t="s">
        <v>102</v>
      </c>
      <c r="H200" s="85">
        <v>500</v>
      </c>
      <c r="I200" s="85"/>
      <c r="J200" s="85">
        <f>H200+I200</f>
        <v>500</v>
      </c>
    </row>
    <row r="201" spans="1:15" s="1" customFormat="1" ht="17.25" customHeight="1" x14ac:dyDescent="0.25">
      <c r="A201" s="129" t="s">
        <v>107</v>
      </c>
      <c r="B201" s="129"/>
      <c r="C201" s="54">
        <v>852</v>
      </c>
      <c r="D201" s="88" t="s">
        <v>93</v>
      </c>
      <c r="E201" s="88" t="s">
        <v>6</v>
      </c>
      <c r="F201" s="88" t="s">
        <v>108</v>
      </c>
      <c r="G201" s="3"/>
      <c r="H201" s="85">
        <f>H202</f>
        <v>51</v>
      </c>
      <c r="I201" s="85">
        <f>I202</f>
        <v>0</v>
      </c>
      <c r="J201" s="85">
        <f>J202</f>
        <v>51</v>
      </c>
    </row>
    <row r="202" spans="1:15" s="1" customFormat="1" ht="18" customHeight="1" x14ac:dyDescent="0.25">
      <c r="A202" s="55"/>
      <c r="B202" s="59" t="s">
        <v>101</v>
      </c>
      <c r="C202" s="54">
        <v>852</v>
      </c>
      <c r="D202" s="3" t="s">
        <v>93</v>
      </c>
      <c r="E202" s="3" t="s">
        <v>6</v>
      </c>
      <c r="F202" s="3" t="s">
        <v>108</v>
      </c>
      <c r="G202" s="3" t="s">
        <v>102</v>
      </c>
      <c r="H202" s="85">
        <v>51</v>
      </c>
      <c r="I202" s="85"/>
      <c r="J202" s="85">
        <f>H202+I202</f>
        <v>51</v>
      </c>
    </row>
    <row r="203" spans="1:15" s="1" customFormat="1" ht="27" customHeight="1" x14ac:dyDescent="0.25">
      <c r="A203" s="129" t="s">
        <v>109</v>
      </c>
      <c r="B203" s="129"/>
      <c r="C203" s="54">
        <v>852</v>
      </c>
      <c r="D203" s="3" t="s">
        <v>93</v>
      </c>
      <c r="E203" s="3" t="s">
        <v>6</v>
      </c>
      <c r="F203" s="3" t="s">
        <v>110</v>
      </c>
      <c r="G203" s="3"/>
      <c r="H203" s="85">
        <f>H204</f>
        <v>198.4</v>
      </c>
      <c r="I203" s="85">
        <f>I204</f>
        <v>-12.4</v>
      </c>
      <c r="J203" s="85">
        <f>J204</f>
        <v>174</v>
      </c>
    </row>
    <row r="204" spans="1:15" s="1" customFormat="1" ht="15" customHeight="1" x14ac:dyDescent="0.25">
      <c r="A204" s="55"/>
      <c r="B204" s="59" t="s">
        <v>101</v>
      </c>
      <c r="C204" s="54">
        <v>852</v>
      </c>
      <c r="D204" s="3" t="s">
        <v>93</v>
      </c>
      <c r="E204" s="3" t="s">
        <v>6</v>
      </c>
      <c r="F204" s="3" t="s">
        <v>110</v>
      </c>
      <c r="G204" s="3" t="s">
        <v>102</v>
      </c>
      <c r="H204" s="85">
        <v>198.4</v>
      </c>
      <c r="I204" s="85">
        <v>-12.4</v>
      </c>
      <c r="J204" s="85">
        <v>174</v>
      </c>
      <c r="L204" s="1">
        <v>-12.4</v>
      </c>
    </row>
    <row r="205" spans="1:15" s="1" customFormat="1" ht="27" customHeight="1" x14ac:dyDescent="0.25">
      <c r="A205" s="129" t="s">
        <v>577</v>
      </c>
      <c r="B205" s="129"/>
      <c r="C205" s="54">
        <v>852</v>
      </c>
      <c r="D205" s="3" t="s">
        <v>93</v>
      </c>
      <c r="E205" s="3" t="s">
        <v>6</v>
      </c>
      <c r="F205" s="3" t="s">
        <v>578</v>
      </c>
      <c r="G205" s="3"/>
      <c r="H205" s="85">
        <f>H206</f>
        <v>800</v>
      </c>
      <c r="I205" s="85">
        <f>I206</f>
        <v>0</v>
      </c>
      <c r="J205" s="85">
        <f>J206</f>
        <v>883.89300000000003</v>
      </c>
    </row>
    <row r="206" spans="1:15" s="1" customFormat="1" ht="16.5" customHeight="1" x14ac:dyDescent="0.25">
      <c r="A206" s="55"/>
      <c r="B206" s="59" t="s">
        <v>101</v>
      </c>
      <c r="C206" s="54">
        <v>852</v>
      </c>
      <c r="D206" s="3" t="s">
        <v>93</v>
      </c>
      <c r="E206" s="3" t="s">
        <v>6</v>
      </c>
      <c r="F206" s="3" t="s">
        <v>578</v>
      </c>
      <c r="G206" s="3" t="s">
        <v>102</v>
      </c>
      <c r="H206" s="85">
        <v>800</v>
      </c>
      <c r="I206" s="85"/>
      <c r="J206" s="85">
        <v>883.89300000000003</v>
      </c>
    </row>
    <row r="207" spans="1:15" s="2" customFormat="1" ht="15" customHeight="1" x14ac:dyDescent="0.25">
      <c r="A207" s="129" t="s">
        <v>275</v>
      </c>
      <c r="B207" s="129"/>
      <c r="C207" s="54">
        <v>852</v>
      </c>
      <c r="D207" s="88" t="s">
        <v>93</v>
      </c>
      <c r="E207" s="88" t="s">
        <v>6</v>
      </c>
      <c r="F207" s="88" t="s">
        <v>579</v>
      </c>
      <c r="G207" s="88"/>
      <c r="H207" s="85">
        <f>H211</f>
        <v>545.79999999999995</v>
      </c>
      <c r="I207" s="85">
        <f>I211</f>
        <v>230</v>
      </c>
      <c r="J207" s="85">
        <f>J208+J211</f>
        <v>1614.6</v>
      </c>
    </row>
    <row r="208" spans="1:15" s="2" customFormat="1" ht="40.5" customHeight="1" x14ac:dyDescent="0.25">
      <c r="A208" s="149" t="s">
        <v>677</v>
      </c>
      <c r="B208" s="150"/>
      <c r="C208" s="54">
        <v>852</v>
      </c>
      <c r="D208" s="88" t="s">
        <v>93</v>
      </c>
      <c r="E208" s="88" t="s">
        <v>6</v>
      </c>
      <c r="F208" s="88" t="s">
        <v>678</v>
      </c>
      <c r="G208" s="88"/>
      <c r="H208" s="63"/>
      <c r="I208" s="63"/>
      <c r="J208" s="63">
        <f>J209</f>
        <v>838.8</v>
      </c>
      <c r="O208" s="1">
        <f t="shared" ref="O208:O210" si="25">N208*5.07/100</f>
        <v>0</v>
      </c>
    </row>
    <row r="209" spans="1:15" s="2" customFormat="1" ht="39" customHeight="1" x14ac:dyDescent="0.25">
      <c r="A209" s="149" t="s">
        <v>679</v>
      </c>
      <c r="B209" s="150"/>
      <c r="C209" s="54">
        <v>852</v>
      </c>
      <c r="D209" s="88" t="s">
        <v>93</v>
      </c>
      <c r="E209" s="88" t="s">
        <v>6</v>
      </c>
      <c r="F209" s="88" t="s">
        <v>680</v>
      </c>
      <c r="G209" s="88"/>
      <c r="H209" s="63"/>
      <c r="I209" s="63"/>
      <c r="J209" s="63">
        <f>J210</f>
        <v>838.8</v>
      </c>
      <c r="O209" s="1">
        <f t="shared" si="25"/>
        <v>0</v>
      </c>
    </row>
    <row r="210" spans="1:15" s="2" customFormat="1" ht="15.75" customHeight="1" x14ac:dyDescent="0.25">
      <c r="A210" s="84"/>
      <c r="B210" s="59" t="s">
        <v>101</v>
      </c>
      <c r="C210" s="54">
        <v>852</v>
      </c>
      <c r="D210" s="88" t="s">
        <v>93</v>
      </c>
      <c r="E210" s="88" t="s">
        <v>6</v>
      </c>
      <c r="F210" s="88" t="s">
        <v>680</v>
      </c>
      <c r="G210" s="88" t="s">
        <v>102</v>
      </c>
      <c r="H210" s="63"/>
      <c r="I210" s="63"/>
      <c r="J210" s="63">
        <v>838.8</v>
      </c>
      <c r="O210" s="1">
        <f t="shared" si="25"/>
        <v>0</v>
      </c>
    </row>
    <row r="211" spans="1:15" s="1" customFormat="1" ht="54.75" customHeight="1" x14ac:dyDescent="0.25">
      <c r="A211" s="129" t="s">
        <v>541</v>
      </c>
      <c r="B211" s="129"/>
      <c r="C211" s="54">
        <v>852</v>
      </c>
      <c r="D211" s="3" t="s">
        <v>93</v>
      </c>
      <c r="E211" s="3" t="s">
        <v>6</v>
      </c>
      <c r="F211" s="3" t="s">
        <v>542</v>
      </c>
      <c r="G211" s="3"/>
      <c r="H211" s="85">
        <f>H212+H214</f>
        <v>545.79999999999995</v>
      </c>
      <c r="I211" s="85">
        <f>I212+I214</f>
        <v>230</v>
      </c>
      <c r="J211" s="85">
        <f>J212+J214</f>
        <v>775.8</v>
      </c>
    </row>
    <row r="212" spans="1:15" s="1" customFormat="1" ht="54" customHeight="1" x14ac:dyDescent="0.25">
      <c r="A212" s="129" t="s">
        <v>580</v>
      </c>
      <c r="B212" s="129"/>
      <c r="C212" s="54">
        <v>852</v>
      </c>
      <c r="D212" s="3" t="s">
        <v>93</v>
      </c>
      <c r="E212" s="3" t="s">
        <v>6</v>
      </c>
      <c r="F212" s="3" t="s">
        <v>581</v>
      </c>
      <c r="G212" s="3"/>
      <c r="H212" s="85">
        <f>H213</f>
        <v>12</v>
      </c>
      <c r="I212" s="85">
        <f>I213</f>
        <v>0</v>
      </c>
      <c r="J212" s="85">
        <f>J213</f>
        <v>12</v>
      </c>
    </row>
    <row r="213" spans="1:15" s="1" customFormat="1" ht="16.5" customHeight="1" x14ac:dyDescent="0.25">
      <c r="A213" s="55"/>
      <c r="B213" s="59" t="s">
        <v>101</v>
      </c>
      <c r="C213" s="54">
        <v>852</v>
      </c>
      <c r="D213" s="3" t="s">
        <v>93</v>
      </c>
      <c r="E213" s="3" t="s">
        <v>6</v>
      </c>
      <c r="F213" s="3" t="s">
        <v>581</v>
      </c>
      <c r="G213" s="3" t="s">
        <v>102</v>
      </c>
      <c r="H213" s="85">
        <v>12</v>
      </c>
      <c r="I213" s="85"/>
      <c r="J213" s="85">
        <f>H213+I213</f>
        <v>12</v>
      </c>
    </row>
    <row r="214" spans="1:15" s="1" customFormat="1" ht="65.25" customHeight="1" x14ac:dyDescent="0.25">
      <c r="A214" s="129" t="s">
        <v>582</v>
      </c>
      <c r="B214" s="129"/>
      <c r="C214" s="54">
        <v>852</v>
      </c>
      <c r="D214" s="3" t="s">
        <v>93</v>
      </c>
      <c r="E214" s="3" t="s">
        <v>6</v>
      </c>
      <c r="F214" s="3" t="s">
        <v>583</v>
      </c>
      <c r="G214" s="3"/>
      <c r="H214" s="85">
        <f>H215</f>
        <v>533.79999999999995</v>
      </c>
      <c r="I214" s="85">
        <f>I215</f>
        <v>230</v>
      </c>
      <c r="J214" s="85">
        <f>J215</f>
        <v>763.8</v>
      </c>
    </row>
    <row r="215" spans="1:15" s="1" customFormat="1" ht="16.5" customHeight="1" x14ac:dyDescent="0.25">
      <c r="A215" s="55"/>
      <c r="B215" s="59" t="s">
        <v>101</v>
      </c>
      <c r="C215" s="54">
        <v>852</v>
      </c>
      <c r="D215" s="3" t="s">
        <v>93</v>
      </c>
      <c r="E215" s="3" t="s">
        <v>6</v>
      </c>
      <c r="F215" s="3" t="s">
        <v>583</v>
      </c>
      <c r="G215" s="3" t="s">
        <v>102</v>
      </c>
      <c r="H215" s="85">
        <v>533.79999999999995</v>
      </c>
      <c r="I215" s="85">
        <v>230</v>
      </c>
      <c r="J215" s="85">
        <f>H215+I215</f>
        <v>763.8</v>
      </c>
      <c r="L215" s="1">
        <v>230</v>
      </c>
    </row>
    <row r="216" spans="1:15" s="6" customFormat="1" ht="15" customHeight="1" x14ac:dyDescent="0.25">
      <c r="A216" s="128" t="s">
        <v>111</v>
      </c>
      <c r="B216" s="128"/>
      <c r="C216" s="50">
        <v>852</v>
      </c>
      <c r="D216" s="81" t="s">
        <v>93</v>
      </c>
      <c r="E216" s="81" t="s">
        <v>51</v>
      </c>
      <c r="F216" s="81"/>
      <c r="G216" s="81"/>
      <c r="H216" s="86">
        <f>H217+H261+H283+H295+H298</f>
        <v>73704.600000000006</v>
      </c>
      <c r="I216" s="86">
        <f>I217+I261+I283+I295+I298</f>
        <v>1823.768</v>
      </c>
      <c r="J216" s="86">
        <f>J217+J261+J283+J295+J298</f>
        <v>74363.017000000007</v>
      </c>
    </row>
    <row r="217" spans="1:15" s="1" customFormat="1" ht="13.5" customHeight="1" x14ac:dyDescent="0.25">
      <c r="A217" s="129" t="s">
        <v>118</v>
      </c>
      <c r="B217" s="129"/>
      <c r="C217" s="54">
        <v>852</v>
      </c>
      <c r="D217" s="3" t="s">
        <v>93</v>
      </c>
      <c r="E217" s="3" t="s">
        <v>51</v>
      </c>
      <c r="F217" s="3" t="s">
        <v>119</v>
      </c>
      <c r="G217" s="3"/>
      <c r="H217" s="85">
        <f>H218</f>
        <v>14254.6</v>
      </c>
      <c r="I217" s="85">
        <f>I218</f>
        <v>-1178.9000000000001</v>
      </c>
      <c r="J217" s="85">
        <f>J218</f>
        <v>12337.521000000001</v>
      </c>
    </row>
    <row r="218" spans="1:15" s="1" customFormat="1" ht="16.5" customHeight="1" x14ac:dyDescent="0.25">
      <c r="A218" s="129" t="s">
        <v>97</v>
      </c>
      <c r="B218" s="129"/>
      <c r="C218" s="54">
        <v>852</v>
      </c>
      <c r="D218" s="88" t="s">
        <v>93</v>
      </c>
      <c r="E218" s="88" t="s">
        <v>51</v>
      </c>
      <c r="F218" s="88" t="s">
        <v>120</v>
      </c>
      <c r="G218" s="3"/>
      <c r="H218" s="85">
        <f>H219+H221+H223+H225+H227+H229+H231+H233+H235+H237+H239+H241+H243+H245+H247+H249+H251+H253+H255+H257+H259</f>
        <v>14254.6</v>
      </c>
      <c r="I218" s="85">
        <f>I219+I221+I223+I225+I227+I229+I231+I233+I235+I237+I239+I241+I243+I245+I247+I249+I251+I253+I255+I257+I259</f>
        <v>-1178.9000000000001</v>
      </c>
      <c r="J218" s="85">
        <f>J219+J221+J223+J225+J227+J229+J231+J233+J235+J237+J239+J241+J243+J245+J247+J249+J251+J253+J255+J257+J259</f>
        <v>12337.521000000001</v>
      </c>
    </row>
    <row r="219" spans="1:15" s="1" customFormat="1" ht="18.75" customHeight="1" x14ac:dyDescent="0.25">
      <c r="A219" s="129" t="s">
        <v>121</v>
      </c>
      <c r="B219" s="129"/>
      <c r="C219" s="54">
        <v>852</v>
      </c>
      <c r="D219" s="88" t="s">
        <v>93</v>
      </c>
      <c r="E219" s="88" t="s">
        <v>51</v>
      </c>
      <c r="F219" s="88" t="s">
        <v>122</v>
      </c>
      <c r="G219" s="3"/>
      <c r="H219" s="85">
        <f>H220</f>
        <v>6036.1</v>
      </c>
      <c r="I219" s="85">
        <f>I220</f>
        <v>-895.37400000000002</v>
      </c>
      <c r="J219" s="85">
        <f>J220</f>
        <v>4801.0140000000001</v>
      </c>
    </row>
    <row r="220" spans="1:15" s="1" customFormat="1" ht="17.25" customHeight="1" x14ac:dyDescent="0.25">
      <c r="A220" s="55"/>
      <c r="B220" s="59" t="s">
        <v>101</v>
      </c>
      <c r="C220" s="54">
        <v>852</v>
      </c>
      <c r="D220" s="3" t="s">
        <v>93</v>
      </c>
      <c r="E220" s="3" t="s">
        <v>51</v>
      </c>
      <c r="F220" s="3" t="s">
        <v>122</v>
      </c>
      <c r="G220" s="3" t="s">
        <v>102</v>
      </c>
      <c r="H220" s="85">
        <v>6036.1</v>
      </c>
      <c r="I220" s="85">
        <v>-895.37400000000002</v>
      </c>
      <c r="J220" s="85">
        <v>4801.0140000000001</v>
      </c>
      <c r="L220" s="1">
        <v>-895.37400000000002</v>
      </c>
    </row>
    <row r="221" spans="1:15" s="1" customFormat="1" ht="18" customHeight="1" x14ac:dyDescent="0.25">
      <c r="A221" s="129" t="s">
        <v>123</v>
      </c>
      <c r="B221" s="129"/>
      <c r="C221" s="54">
        <v>852</v>
      </c>
      <c r="D221" s="3" t="s">
        <v>93</v>
      </c>
      <c r="E221" s="3" t="s">
        <v>51</v>
      </c>
      <c r="F221" s="3" t="s">
        <v>124</v>
      </c>
      <c r="G221" s="3"/>
      <c r="H221" s="85">
        <f>H222</f>
        <v>200.7</v>
      </c>
      <c r="I221" s="85">
        <f>I222</f>
        <v>0</v>
      </c>
      <c r="J221" s="85">
        <f>J222</f>
        <v>154.73599999999999</v>
      </c>
    </row>
    <row r="222" spans="1:15" s="1" customFormat="1" ht="17.25" customHeight="1" x14ac:dyDescent="0.25">
      <c r="A222" s="55"/>
      <c r="B222" s="59" t="s">
        <v>101</v>
      </c>
      <c r="C222" s="54">
        <v>852</v>
      </c>
      <c r="D222" s="88" t="s">
        <v>93</v>
      </c>
      <c r="E222" s="88" t="s">
        <v>51</v>
      </c>
      <c r="F222" s="88" t="s">
        <v>124</v>
      </c>
      <c r="G222" s="88" t="s">
        <v>102</v>
      </c>
      <c r="H222" s="85">
        <v>200.7</v>
      </c>
      <c r="I222" s="85"/>
      <c r="J222" s="85">
        <v>154.73599999999999</v>
      </c>
    </row>
    <row r="223" spans="1:15" s="1" customFormat="1" ht="17.25" customHeight="1" x14ac:dyDescent="0.25">
      <c r="A223" s="129" t="s">
        <v>125</v>
      </c>
      <c r="B223" s="129"/>
      <c r="C223" s="54">
        <v>852</v>
      </c>
      <c r="D223" s="3" t="s">
        <v>93</v>
      </c>
      <c r="E223" s="3" t="s">
        <v>51</v>
      </c>
      <c r="F223" s="3" t="s">
        <v>126</v>
      </c>
      <c r="G223" s="3"/>
      <c r="H223" s="85">
        <f>H224</f>
        <v>341</v>
      </c>
      <c r="I223" s="85">
        <f>I224</f>
        <v>79</v>
      </c>
      <c r="J223" s="85">
        <f>J224</f>
        <v>339.7</v>
      </c>
    </row>
    <row r="224" spans="1:15" s="1" customFormat="1" ht="17.25" customHeight="1" x14ac:dyDescent="0.25">
      <c r="A224" s="55"/>
      <c r="B224" s="59" t="s">
        <v>101</v>
      </c>
      <c r="C224" s="54">
        <v>852</v>
      </c>
      <c r="D224" s="88" t="s">
        <v>93</v>
      </c>
      <c r="E224" s="88" t="s">
        <v>51</v>
      </c>
      <c r="F224" s="88" t="s">
        <v>126</v>
      </c>
      <c r="G224" s="88" t="s">
        <v>102</v>
      </c>
      <c r="H224" s="85">
        <v>341</v>
      </c>
      <c r="I224" s="85">
        <v>79</v>
      </c>
      <c r="J224" s="85">
        <v>339.7</v>
      </c>
      <c r="L224" s="1">
        <v>79</v>
      </c>
    </row>
    <row r="225" spans="1:12" s="1" customFormat="1" ht="25.5" customHeight="1" x14ac:dyDescent="0.25">
      <c r="A225" s="129" t="s">
        <v>127</v>
      </c>
      <c r="B225" s="129"/>
      <c r="C225" s="54">
        <v>852</v>
      </c>
      <c r="D225" s="3" t="s">
        <v>93</v>
      </c>
      <c r="E225" s="3" t="s">
        <v>51</v>
      </c>
      <c r="F225" s="3" t="s">
        <v>128</v>
      </c>
      <c r="G225" s="3"/>
      <c r="H225" s="85">
        <f>H226</f>
        <v>531.1</v>
      </c>
      <c r="I225" s="85">
        <f>I226</f>
        <v>-29.1</v>
      </c>
      <c r="J225" s="85">
        <f>J226</f>
        <v>502</v>
      </c>
    </row>
    <row r="226" spans="1:12" s="1" customFormat="1" ht="17.25" customHeight="1" x14ac:dyDescent="0.25">
      <c r="A226" s="55"/>
      <c r="B226" s="59" t="s">
        <v>101</v>
      </c>
      <c r="C226" s="54">
        <v>852</v>
      </c>
      <c r="D226" s="88" t="s">
        <v>93</v>
      </c>
      <c r="E226" s="88" t="s">
        <v>51</v>
      </c>
      <c r="F226" s="88" t="s">
        <v>128</v>
      </c>
      <c r="G226" s="88" t="s">
        <v>102</v>
      </c>
      <c r="H226" s="85">
        <v>531.1</v>
      </c>
      <c r="I226" s="85">
        <v>-29.1</v>
      </c>
      <c r="J226" s="85">
        <f>H226+I226</f>
        <v>502</v>
      </c>
      <c r="L226" s="1">
        <v>-29.1</v>
      </c>
    </row>
    <row r="227" spans="1:12" s="1" customFormat="1" ht="17.25" customHeight="1" x14ac:dyDescent="0.25">
      <c r="A227" s="129" t="s">
        <v>129</v>
      </c>
      <c r="B227" s="129"/>
      <c r="C227" s="54">
        <v>852</v>
      </c>
      <c r="D227" s="88" t="s">
        <v>93</v>
      </c>
      <c r="E227" s="88" t="s">
        <v>51</v>
      </c>
      <c r="F227" s="88" t="s">
        <v>130</v>
      </c>
      <c r="G227" s="3"/>
      <c r="H227" s="85">
        <f>H228</f>
        <v>1365.2</v>
      </c>
      <c r="I227" s="85">
        <f>I228</f>
        <v>-41</v>
      </c>
      <c r="J227" s="85">
        <f>J228</f>
        <v>1257.0630000000001</v>
      </c>
    </row>
    <row r="228" spans="1:12" s="1" customFormat="1" ht="17.25" customHeight="1" x14ac:dyDescent="0.25">
      <c r="A228" s="55"/>
      <c r="B228" s="59" t="s">
        <v>101</v>
      </c>
      <c r="C228" s="54">
        <v>852</v>
      </c>
      <c r="D228" s="3" t="s">
        <v>93</v>
      </c>
      <c r="E228" s="3" t="s">
        <v>51</v>
      </c>
      <c r="F228" s="3" t="s">
        <v>130</v>
      </c>
      <c r="G228" s="3" t="s">
        <v>102</v>
      </c>
      <c r="H228" s="85">
        <v>1365.2</v>
      </c>
      <c r="I228" s="85">
        <v>-41</v>
      </c>
      <c r="J228" s="85">
        <v>1257.0630000000001</v>
      </c>
      <c r="L228" s="1">
        <v>-41</v>
      </c>
    </row>
    <row r="229" spans="1:12" s="1" customFormat="1" ht="15" customHeight="1" x14ac:dyDescent="0.25">
      <c r="A229" s="129" t="s">
        <v>131</v>
      </c>
      <c r="B229" s="129"/>
      <c r="C229" s="54">
        <v>852</v>
      </c>
      <c r="D229" s="3" t="s">
        <v>93</v>
      </c>
      <c r="E229" s="3" t="s">
        <v>51</v>
      </c>
      <c r="F229" s="3" t="s">
        <v>132</v>
      </c>
      <c r="G229" s="3"/>
      <c r="H229" s="85">
        <f>H230</f>
        <v>243.1</v>
      </c>
      <c r="I229" s="85">
        <f>I230</f>
        <v>0</v>
      </c>
      <c r="J229" s="85">
        <f>J230</f>
        <v>230.77500000000001</v>
      </c>
    </row>
    <row r="230" spans="1:12" s="1" customFormat="1" ht="17.25" customHeight="1" x14ac:dyDescent="0.25">
      <c r="A230" s="55"/>
      <c r="B230" s="59" t="s">
        <v>101</v>
      </c>
      <c r="C230" s="54">
        <v>852</v>
      </c>
      <c r="D230" s="88" t="s">
        <v>93</v>
      </c>
      <c r="E230" s="88" t="s">
        <v>51</v>
      </c>
      <c r="F230" s="88" t="s">
        <v>132</v>
      </c>
      <c r="G230" s="88" t="s">
        <v>102</v>
      </c>
      <c r="H230" s="85">
        <v>243.1</v>
      </c>
      <c r="I230" s="85"/>
      <c r="J230" s="85">
        <v>230.77500000000001</v>
      </c>
    </row>
    <row r="231" spans="1:12" s="1" customFormat="1" ht="17.25" customHeight="1" x14ac:dyDescent="0.25">
      <c r="A231" s="129" t="s">
        <v>133</v>
      </c>
      <c r="B231" s="129"/>
      <c r="C231" s="54">
        <v>852</v>
      </c>
      <c r="D231" s="3" t="s">
        <v>93</v>
      </c>
      <c r="E231" s="3" t="s">
        <v>51</v>
      </c>
      <c r="F231" s="3" t="s">
        <v>134</v>
      </c>
      <c r="G231" s="3"/>
      <c r="H231" s="85">
        <f>H232</f>
        <v>22.3</v>
      </c>
      <c r="I231" s="85">
        <f>I232</f>
        <v>0</v>
      </c>
      <c r="J231" s="85">
        <f>J232</f>
        <v>22.3</v>
      </c>
    </row>
    <row r="232" spans="1:12" s="1" customFormat="1" ht="17.25" customHeight="1" x14ac:dyDescent="0.25">
      <c r="A232" s="55"/>
      <c r="B232" s="59" t="s">
        <v>101</v>
      </c>
      <c r="C232" s="54">
        <v>852</v>
      </c>
      <c r="D232" s="88" t="s">
        <v>93</v>
      </c>
      <c r="E232" s="88" t="s">
        <v>51</v>
      </c>
      <c r="F232" s="88" t="s">
        <v>134</v>
      </c>
      <c r="G232" s="88" t="s">
        <v>102</v>
      </c>
      <c r="H232" s="85">
        <v>22.3</v>
      </c>
      <c r="I232" s="85"/>
      <c r="J232" s="85">
        <f>H232+I232</f>
        <v>22.3</v>
      </c>
    </row>
    <row r="233" spans="1:12" s="1" customFormat="1" ht="15.75" customHeight="1" x14ac:dyDescent="0.25">
      <c r="A233" s="129" t="s">
        <v>135</v>
      </c>
      <c r="B233" s="129"/>
      <c r="C233" s="54">
        <v>852</v>
      </c>
      <c r="D233" s="3" t="s">
        <v>93</v>
      </c>
      <c r="E233" s="3" t="s">
        <v>51</v>
      </c>
      <c r="F233" s="3" t="s">
        <v>136</v>
      </c>
      <c r="G233" s="3"/>
      <c r="H233" s="85">
        <f>H234</f>
        <v>148.30000000000001</v>
      </c>
      <c r="I233" s="85">
        <f>I234</f>
        <v>-16.3</v>
      </c>
      <c r="J233" s="85">
        <f>J234</f>
        <v>132</v>
      </c>
    </row>
    <row r="234" spans="1:12" s="1" customFormat="1" ht="17.25" customHeight="1" x14ac:dyDescent="0.25">
      <c r="A234" s="55"/>
      <c r="B234" s="59" t="s">
        <v>101</v>
      </c>
      <c r="C234" s="54">
        <v>852</v>
      </c>
      <c r="D234" s="88" t="s">
        <v>93</v>
      </c>
      <c r="E234" s="88" t="s">
        <v>51</v>
      </c>
      <c r="F234" s="88" t="s">
        <v>136</v>
      </c>
      <c r="G234" s="88" t="s">
        <v>102</v>
      </c>
      <c r="H234" s="85">
        <v>148.30000000000001</v>
      </c>
      <c r="I234" s="85">
        <v>-16.3</v>
      </c>
      <c r="J234" s="85">
        <f>H234+I234</f>
        <v>132</v>
      </c>
      <c r="L234" s="1">
        <v>-16.3</v>
      </c>
    </row>
    <row r="235" spans="1:12" s="1" customFormat="1" ht="15.75" customHeight="1" x14ac:dyDescent="0.25">
      <c r="A235" s="129" t="s">
        <v>137</v>
      </c>
      <c r="B235" s="129"/>
      <c r="C235" s="54">
        <v>852</v>
      </c>
      <c r="D235" s="88" t="s">
        <v>93</v>
      </c>
      <c r="E235" s="88" t="s">
        <v>51</v>
      </c>
      <c r="F235" s="88" t="s">
        <v>138</v>
      </c>
      <c r="G235" s="3"/>
      <c r="H235" s="85">
        <f>H236</f>
        <v>1720.1</v>
      </c>
      <c r="I235" s="85">
        <f>I236</f>
        <v>-80</v>
      </c>
      <c r="J235" s="85">
        <f>J236</f>
        <v>1556.9469999999999</v>
      </c>
    </row>
    <row r="236" spans="1:12" s="1" customFormat="1" ht="17.25" customHeight="1" x14ac:dyDescent="0.25">
      <c r="A236" s="55"/>
      <c r="B236" s="59" t="s">
        <v>101</v>
      </c>
      <c r="C236" s="54">
        <v>852</v>
      </c>
      <c r="D236" s="3" t="s">
        <v>93</v>
      </c>
      <c r="E236" s="3" t="s">
        <v>51</v>
      </c>
      <c r="F236" s="3" t="s">
        <v>138</v>
      </c>
      <c r="G236" s="3" t="s">
        <v>102</v>
      </c>
      <c r="H236" s="85">
        <v>1720.1</v>
      </c>
      <c r="I236" s="85">
        <v>-80</v>
      </c>
      <c r="J236" s="85">
        <v>1556.9469999999999</v>
      </c>
      <c r="L236" s="1">
        <v>-80</v>
      </c>
    </row>
    <row r="237" spans="1:12" s="1" customFormat="1" ht="15" customHeight="1" x14ac:dyDescent="0.25">
      <c r="A237" s="129" t="s">
        <v>139</v>
      </c>
      <c r="B237" s="129"/>
      <c r="C237" s="54">
        <v>852</v>
      </c>
      <c r="D237" s="3" t="s">
        <v>93</v>
      </c>
      <c r="E237" s="3" t="s">
        <v>51</v>
      </c>
      <c r="F237" s="3" t="s">
        <v>140</v>
      </c>
      <c r="G237" s="3"/>
      <c r="H237" s="85">
        <f>H238</f>
        <v>265.5</v>
      </c>
      <c r="I237" s="85">
        <f>I238</f>
        <v>0</v>
      </c>
      <c r="J237" s="85">
        <f>J238</f>
        <v>252.03899999999999</v>
      </c>
    </row>
    <row r="238" spans="1:12" s="1" customFormat="1" ht="17.25" customHeight="1" x14ac:dyDescent="0.25">
      <c r="A238" s="55"/>
      <c r="B238" s="59" t="s">
        <v>101</v>
      </c>
      <c r="C238" s="54">
        <v>852</v>
      </c>
      <c r="D238" s="88" t="s">
        <v>93</v>
      </c>
      <c r="E238" s="88" t="s">
        <v>51</v>
      </c>
      <c r="F238" s="88" t="s">
        <v>140</v>
      </c>
      <c r="G238" s="88" t="s">
        <v>102</v>
      </c>
      <c r="H238" s="85">
        <v>265.5</v>
      </c>
      <c r="I238" s="85"/>
      <c r="J238" s="85">
        <v>252.03899999999999</v>
      </c>
    </row>
    <row r="239" spans="1:12" s="1" customFormat="1" ht="15" customHeight="1" x14ac:dyDescent="0.25">
      <c r="A239" s="129" t="s">
        <v>141</v>
      </c>
      <c r="B239" s="129"/>
      <c r="C239" s="54">
        <v>852</v>
      </c>
      <c r="D239" s="3" t="s">
        <v>93</v>
      </c>
      <c r="E239" s="3" t="s">
        <v>51</v>
      </c>
      <c r="F239" s="3" t="s">
        <v>142</v>
      </c>
      <c r="G239" s="3"/>
      <c r="H239" s="85">
        <f>H240</f>
        <v>17</v>
      </c>
      <c r="I239" s="85">
        <f>I240</f>
        <v>0</v>
      </c>
      <c r="J239" s="85">
        <f>J240</f>
        <v>17</v>
      </c>
    </row>
    <row r="240" spans="1:12" s="1" customFormat="1" ht="17.25" customHeight="1" x14ac:dyDescent="0.25">
      <c r="A240" s="55"/>
      <c r="B240" s="59" t="s">
        <v>101</v>
      </c>
      <c r="C240" s="54">
        <v>852</v>
      </c>
      <c r="D240" s="88" t="s">
        <v>93</v>
      </c>
      <c r="E240" s="88" t="s">
        <v>51</v>
      </c>
      <c r="F240" s="88" t="s">
        <v>142</v>
      </c>
      <c r="G240" s="88" t="s">
        <v>102</v>
      </c>
      <c r="H240" s="85">
        <v>17</v>
      </c>
      <c r="I240" s="85"/>
      <c r="J240" s="85">
        <f>H240+I240</f>
        <v>17</v>
      </c>
    </row>
    <row r="241" spans="1:15" s="1" customFormat="1" ht="15.75" customHeight="1" x14ac:dyDescent="0.25">
      <c r="A241" s="129" t="s">
        <v>143</v>
      </c>
      <c r="B241" s="129"/>
      <c r="C241" s="54">
        <v>852</v>
      </c>
      <c r="D241" s="3" t="s">
        <v>93</v>
      </c>
      <c r="E241" s="3" t="s">
        <v>51</v>
      </c>
      <c r="F241" s="3" t="s">
        <v>144</v>
      </c>
      <c r="G241" s="3"/>
      <c r="H241" s="85">
        <f>H242</f>
        <v>158.30000000000001</v>
      </c>
      <c r="I241" s="85">
        <f>I242</f>
        <v>-12.3</v>
      </c>
      <c r="J241" s="85">
        <f>J242</f>
        <v>146</v>
      </c>
    </row>
    <row r="242" spans="1:15" s="1" customFormat="1" ht="17.25" customHeight="1" x14ac:dyDescent="0.25">
      <c r="A242" s="55"/>
      <c r="B242" s="59" t="s">
        <v>101</v>
      </c>
      <c r="C242" s="54">
        <v>852</v>
      </c>
      <c r="D242" s="88" t="s">
        <v>93</v>
      </c>
      <c r="E242" s="88" t="s">
        <v>51</v>
      </c>
      <c r="F242" s="88" t="s">
        <v>144</v>
      </c>
      <c r="G242" s="88" t="s">
        <v>102</v>
      </c>
      <c r="H242" s="85">
        <v>158.30000000000001</v>
      </c>
      <c r="I242" s="85">
        <v>-12.3</v>
      </c>
      <c r="J242" s="85">
        <f>H242+I242</f>
        <v>146</v>
      </c>
      <c r="L242" s="1">
        <v>-12.3</v>
      </c>
    </row>
    <row r="243" spans="1:15" s="1" customFormat="1" ht="18" customHeight="1" x14ac:dyDescent="0.25">
      <c r="A243" s="129" t="s">
        <v>145</v>
      </c>
      <c r="B243" s="129"/>
      <c r="C243" s="54">
        <v>852</v>
      </c>
      <c r="D243" s="88" t="s">
        <v>93</v>
      </c>
      <c r="E243" s="88" t="s">
        <v>51</v>
      </c>
      <c r="F243" s="88" t="s">
        <v>146</v>
      </c>
      <c r="G243" s="3"/>
      <c r="H243" s="85">
        <f>H244</f>
        <v>1022.8</v>
      </c>
      <c r="I243" s="85">
        <f>I244</f>
        <v>-37.426000000000002</v>
      </c>
      <c r="J243" s="85">
        <f>J244</f>
        <v>935.41600000000005</v>
      </c>
    </row>
    <row r="244" spans="1:15" s="1" customFormat="1" ht="17.25" customHeight="1" x14ac:dyDescent="0.25">
      <c r="A244" s="55"/>
      <c r="B244" s="59" t="s">
        <v>101</v>
      </c>
      <c r="C244" s="54">
        <v>852</v>
      </c>
      <c r="D244" s="3" t="s">
        <v>93</v>
      </c>
      <c r="E244" s="3" t="s">
        <v>51</v>
      </c>
      <c r="F244" s="3" t="s">
        <v>146</v>
      </c>
      <c r="G244" s="3" t="s">
        <v>102</v>
      </c>
      <c r="H244" s="85">
        <v>1022.8</v>
      </c>
      <c r="I244" s="85">
        <v>-37.426000000000002</v>
      </c>
      <c r="J244" s="85">
        <v>935.41600000000005</v>
      </c>
      <c r="L244" s="1">
        <v>-37.426000000000002</v>
      </c>
    </row>
    <row r="245" spans="1:15" s="1" customFormat="1" ht="15.75" customHeight="1" x14ac:dyDescent="0.25">
      <c r="A245" s="129" t="s">
        <v>147</v>
      </c>
      <c r="B245" s="129"/>
      <c r="C245" s="54">
        <v>852</v>
      </c>
      <c r="D245" s="3" t="s">
        <v>93</v>
      </c>
      <c r="E245" s="3" t="s">
        <v>51</v>
      </c>
      <c r="F245" s="3" t="s">
        <v>148</v>
      </c>
      <c r="G245" s="3"/>
      <c r="H245" s="85">
        <f>H246</f>
        <v>56.9</v>
      </c>
      <c r="I245" s="85">
        <f>I246</f>
        <v>0</v>
      </c>
      <c r="J245" s="85">
        <f>J246</f>
        <v>54.015000000000001</v>
      </c>
    </row>
    <row r="246" spans="1:15" s="1" customFormat="1" ht="17.25" customHeight="1" x14ac:dyDescent="0.25">
      <c r="A246" s="55"/>
      <c r="B246" s="59" t="s">
        <v>101</v>
      </c>
      <c r="C246" s="54">
        <v>852</v>
      </c>
      <c r="D246" s="88" t="s">
        <v>93</v>
      </c>
      <c r="E246" s="88" t="s">
        <v>51</v>
      </c>
      <c r="F246" s="88" t="s">
        <v>148</v>
      </c>
      <c r="G246" s="88" t="s">
        <v>102</v>
      </c>
      <c r="H246" s="85">
        <v>56.9</v>
      </c>
      <c r="I246" s="85"/>
      <c r="J246" s="85">
        <v>54.015000000000001</v>
      </c>
    </row>
    <row r="247" spans="1:15" s="1" customFormat="1" ht="18" customHeight="1" x14ac:dyDescent="0.25">
      <c r="A247" s="129" t="s">
        <v>149</v>
      </c>
      <c r="B247" s="129"/>
      <c r="C247" s="54">
        <v>852</v>
      </c>
      <c r="D247" s="3" t="s">
        <v>93</v>
      </c>
      <c r="E247" s="3" t="s">
        <v>51</v>
      </c>
      <c r="F247" s="3" t="s">
        <v>150</v>
      </c>
      <c r="G247" s="3"/>
      <c r="H247" s="85">
        <f>H248</f>
        <v>27.6</v>
      </c>
      <c r="I247" s="85">
        <f>I248</f>
        <v>1</v>
      </c>
      <c r="J247" s="85">
        <f>J248</f>
        <v>28.6</v>
      </c>
    </row>
    <row r="248" spans="1:15" s="1" customFormat="1" ht="17.25" customHeight="1" x14ac:dyDescent="0.25">
      <c r="A248" s="55"/>
      <c r="B248" s="59" t="s">
        <v>101</v>
      </c>
      <c r="C248" s="54">
        <v>852</v>
      </c>
      <c r="D248" s="88" t="s">
        <v>93</v>
      </c>
      <c r="E248" s="88" t="s">
        <v>51</v>
      </c>
      <c r="F248" s="88" t="s">
        <v>150</v>
      </c>
      <c r="G248" s="88" t="s">
        <v>102</v>
      </c>
      <c r="H248" s="85">
        <v>27.6</v>
      </c>
      <c r="I248" s="85">
        <v>1</v>
      </c>
      <c r="J248" s="85">
        <f>H248+I248</f>
        <v>28.6</v>
      </c>
      <c r="L248" s="1">
        <v>1</v>
      </c>
    </row>
    <row r="249" spans="1:15" s="1" customFormat="1" ht="15.75" customHeight="1" x14ac:dyDescent="0.25">
      <c r="A249" s="129" t="s">
        <v>151</v>
      </c>
      <c r="B249" s="129"/>
      <c r="C249" s="54">
        <v>852</v>
      </c>
      <c r="D249" s="3" t="s">
        <v>93</v>
      </c>
      <c r="E249" s="3" t="s">
        <v>51</v>
      </c>
      <c r="F249" s="3" t="s">
        <v>152</v>
      </c>
      <c r="G249" s="3"/>
      <c r="H249" s="85">
        <f>H250</f>
        <v>74.2</v>
      </c>
      <c r="I249" s="85">
        <f>I250</f>
        <v>-10.199999999999999</v>
      </c>
      <c r="J249" s="85">
        <f>J250</f>
        <v>64</v>
      </c>
    </row>
    <row r="250" spans="1:15" s="1" customFormat="1" ht="17.25" customHeight="1" x14ac:dyDescent="0.25">
      <c r="A250" s="55"/>
      <c r="B250" s="59" t="s">
        <v>101</v>
      </c>
      <c r="C250" s="54">
        <v>852</v>
      </c>
      <c r="D250" s="88" t="s">
        <v>93</v>
      </c>
      <c r="E250" s="88" t="s">
        <v>51</v>
      </c>
      <c r="F250" s="88" t="s">
        <v>152</v>
      </c>
      <c r="G250" s="88" t="s">
        <v>102</v>
      </c>
      <c r="H250" s="85">
        <v>74.2</v>
      </c>
      <c r="I250" s="85">
        <v>-10.199999999999999</v>
      </c>
      <c r="J250" s="85">
        <f>H250+I250</f>
        <v>64</v>
      </c>
      <c r="L250" s="1">
        <v>-10.199999999999999</v>
      </c>
    </row>
    <row r="251" spans="1:15" s="1" customFormat="1" ht="15.75" customHeight="1" x14ac:dyDescent="0.25">
      <c r="A251" s="129" t="s">
        <v>153</v>
      </c>
      <c r="B251" s="129"/>
      <c r="C251" s="54">
        <v>852</v>
      </c>
      <c r="D251" s="88" t="s">
        <v>93</v>
      </c>
      <c r="E251" s="88" t="s">
        <v>51</v>
      </c>
      <c r="F251" s="88" t="s">
        <v>154</v>
      </c>
      <c r="G251" s="3"/>
      <c r="H251" s="85">
        <f>H252</f>
        <v>1230.2</v>
      </c>
      <c r="I251" s="85">
        <f>I252</f>
        <v>-131</v>
      </c>
      <c r="J251" s="85">
        <f>J252</f>
        <v>1063.471</v>
      </c>
    </row>
    <row r="252" spans="1:15" s="1" customFormat="1" ht="17.25" customHeight="1" x14ac:dyDescent="0.25">
      <c r="A252" s="55"/>
      <c r="B252" s="59" t="s">
        <v>101</v>
      </c>
      <c r="C252" s="54">
        <v>852</v>
      </c>
      <c r="D252" s="3" t="s">
        <v>93</v>
      </c>
      <c r="E252" s="3" t="s">
        <v>51</v>
      </c>
      <c r="F252" s="3" t="s">
        <v>154</v>
      </c>
      <c r="G252" s="3" t="s">
        <v>102</v>
      </c>
      <c r="H252" s="85">
        <v>1230.2</v>
      </c>
      <c r="I252" s="85">
        <v>-131</v>
      </c>
      <c r="J252" s="85">
        <v>1063.471</v>
      </c>
      <c r="L252" s="1">
        <v>-131</v>
      </c>
    </row>
    <row r="253" spans="1:15" s="1" customFormat="1" ht="15" customHeight="1" x14ac:dyDescent="0.25">
      <c r="A253" s="129" t="s">
        <v>155</v>
      </c>
      <c r="B253" s="129"/>
      <c r="C253" s="54">
        <v>852</v>
      </c>
      <c r="D253" s="3" t="s">
        <v>93</v>
      </c>
      <c r="E253" s="3" t="s">
        <v>51</v>
      </c>
      <c r="F253" s="3" t="s">
        <v>156</v>
      </c>
      <c r="G253" s="3"/>
      <c r="H253" s="85">
        <f>H254</f>
        <v>59.4</v>
      </c>
      <c r="I253" s="85">
        <f>I254</f>
        <v>0</v>
      </c>
      <c r="J253" s="85">
        <f>J254</f>
        <v>56.387999999999998</v>
      </c>
    </row>
    <row r="254" spans="1:15" s="1" customFormat="1" ht="17.25" customHeight="1" x14ac:dyDescent="0.25">
      <c r="A254" s="55"/>
      <c r="B254" s="59" t="s">
        <v>101</v>
      </c>
      <c r="C254" s="54">
        <v>852</v>
      </c>
      <c r="D254" s="88" t="s">
        <v>93</v>
      </c>
      <c r="E254" s="88" t="s">
        <v>51</v>
      </c>
      <c r="F254" s="88" t="s">
        <v>156</v>
      </c>
      <c r="G254" s="88" t="s">
        <v>102</v>
      </c>
      <c r="H254" s="85">
        <v>59.4</v>
      </c>
      <c r="I254" s="85"/>
      <c r="J254" s="85">
        <v>56.387999999999998</v>
      </c>
    </row>
    <row r="255" spans="1:15" s="1" customFormat="1" ht="27" customHeight="1" x14ac:dyDescent="0.25">
      <c r="A255" s="129" t="s">
        <v>157</v>
      </c>
      <c r="B255" s="129"/>
      <c r="C255" s="54">
        <v>852</v>
      </c>
      <c r="D255" s="3" t="s">
        <v>93</v>
      </c>
      <c r="E255" s="3" t="s">
        <v>51</v>
      </c>
      <c r="F255" s="3" t="s">
        <v>158</v>
      </c>
      <c r="G255" s="3"/>
      <c r="H255" s="85">
        <f>H256</f>
        <v>89.6</v>
      </c>
      <c r="I255" s="85">
        <f>I256</f>
        <v>0</v>
      </c>
      <c r="J255" s="85">
        <f>J256</f>
        <v>85.057000000000002</v>
      </c>
      <c r="N255" s="38"/>
      <c r="O255" s="38"/>
    </row>
    <row r="256" spans="1:15" s="1" customFormat="1" ht="17.25" customHeight="1" x14ac:dyDescent="0.25">
      <c r="A256" s="55"/>
      <c r="B256" s="59" t="s">
        <v>101</v>
      </c>
      <c r="C256" s="54">
        <v>852</v>
      </c>
      <c r="D256" s="88" t="s">
        <v>93</v>
      </c>
      <c r="E256" s="88" t="s">
        <v>51</v>
      </c>
      <c r="F256" s="88" t="s">
        <v>158</v>
      </c>
      <c r="G256" s="88" t="s">
        <v>102</v>
      </c>
      <c r="H256" s="85">
        <v>89.6</v>
      </c>
      <c r="I256" s="85"/>
      <c r="J256" s="85">
        <v>85.057000000000002</v>
      </c>
    </row>
    <row r="257" spans="1:13" s="1" customFormat="1" ht="15.75" customHeight="1" x14ac:dyDescent="0.25">
      <c r="A257" s="129" t="s">
        <v>159</v>
      </c>
      <c r="B257" s="129"/>
      <c r="C257" s="54">
        <v>852</v>
      </c>
      <c r="D257" s="3" t="s">
        <v>93</v>
      </c>
      <c r="E257" s="3" t="s">
        <v>51</v>
      </c>
      <c r="F257" s="3" t="s">
        <v>160</v>
      </c>
      <c r="G257" s="3"/>
      <c r="H257" s="85">
        <f>H258</f>
        <v>545</v>
      </c>
      <c r="I257" s="85">
        <f>I258</f>
        <v>0</v>
      </c>
      <c r="J257" s="85">
        <f>J258</f>
        <v>545</v>
      </c>
    </row>
    <row r="258" spans="1:13" s="1" customFormat="1" ht="17.25" customHeight="1" x14ac:dyDescent="0.25">
      <c r="A258" s="55"/>
      <c r="B258" s="59" t="s">
        <v>101</v>
      </c>
      <c r="C258" s="54">
        <v>852</v>
      </c>
      <c r="D258" s="88" t="s">
        <v>93</v>
      </c>
      <c r="E258" s="88" t="s">
        <v>51</v>
      </c>
      <c r="F258" s="88" t="s">
        <v>160</v>
      </c>
      <c r="G258" s="88" t="s">
        <v>102</v>
      </c>
      <c r="H258" s="85">
        <v>545</v>
      </c>
      <c r="I258" s="85"/>
      <c r="J258" s="85">
        <f>H258+I258</f>
        <v>545</v>
      </c>
    </row>
    <row r="259" spans="1:13" s="1" customFormat="1" ht="26.25" customHeight="1" x14ac:dyDescent="0.25">
      <c r="A259" s="129" t="s">
        <v>584</v>
      </c>
      <c r="B259" s="129"/>
      <c r="C259" s="54">
        <v>852</v>
      </c>
      <c r="D259" s="3" t="s">
        <v>93</v>
      </c>
      <c r="E259" s="3" t="s">
        <v>51</v>
      </c>
      <c r="F259" s="3" t="s">
        <v>585</v>
      </c>
      <c r="G259" s="3"/>
      <c r="H259" s="85">
        <f>H260</f>
        <v>100.2</v>
      </c>
      <c r="I259" s="85">
        <f>I260</f>
        <v>-6.2</v>
      </c>
      <c r="J259" s="85">
        <f>J260</f>
        <v>94</v>
      </c>
    </row>
    <row r="260" spans="1:13" s="1" customFormat="1" ht="17.25" customHeight="1" x14ac:dyDescent="0.25">
      <c r="A260" s="55"/>
      <c r="B260" s="59" t="s">
        <v>101</v>
      </c>
      <c r="C260" s="54">
        <v>852</v>
      </c>
      <c r="D260" s="88" t="s">
        <v>93</v>
      </c>
      <c r="E260" s="88" t="s">
        <v>51</v>
      </c>
      <c r="F260" s="88" t="s">
        <v>585</v>
      </c>
      <c r="G260" s="88" t="s">
        <v>102</v>
      </c>
      <c r="H260" s="85">
        <v>100.2</v>
      </c>
      <c r="I260" s="85">
        <v>-6.2</v>
      </c>
      <c r="J260" s="85">
        <f>H260+I260</f>
        <v>94</v>
      </c>
      <c r="L260" s="1">
        <v>-6.2</v>
      </c>
    </row>
    <row r="261" spans="1:13" s="1" customFormat="1" ht="16.5" customHeight="1" x14ac:dyDescent="0.25">
      <c r="A261" s="129" t="s">
        <v>161</v>
      </c>
      <c r="B261" s="129"/>
      <c r="C261" s="54">
        <v>852</v>
      </c>
      <c r="D261" s="3" t="s">
        <v>93</v>
      </c>
      <c r="E261" s="3" t="s">
        <v>51</v>
      </c>
      <c r="F261" s="3" t="s">
        <v>162</v>
      </c>
      <c r="G261" s="3"/>
      <c r="H261" s="85">
        <f>H262</f>
        <v>5620.1</v>
      </c>
      <c r="I261" s="85">
        <f>I262</f>
        <v>-9.532</v>
      </c>
      <c r="J261" s="85">
        <f>J262</f>
        <v>5183.3959999999997</v>
      </c>
    </row>
    <row r="262" spans="1:13" s="1" customFormat="1" ht="14.25" customHeight="1" x14ac:dyDescent="0.25">
      <c r="A262" s="137" t="s">
        <v>97</v>
      </c>
      <c r="B262" s="138"/>
      <c r="C262" s="54">
        <v>852</v>
      </c>
      <c r="D262" s="3" t="s">
        <v>93</v>
      </c>
      <c r="E262" s="3" t="s">
        <v>51</v>
      </c>
      <c r="F262" s="3" t="s">
        <v>586</v>
      </c>
      <c r="G262" s="3"/>
      <c r="H262" s="85">
        <f>H263+H267+H271+H273+H277+H281</f>
        <v>5620.1</v>
      </c>
      <c r="I262" s="85">
        <f>I263+I267+I271+I273+I277+I281</f>
        <v>-9.532</v>
      </c>
      <c r="J262" s="85">
        <f>J263+J267+J271+J273+J277+J281</f>
        <v>5183.3959999999997</v>
      </c>
    </row>
    <row r="263" spans="1:13" s="1" customFormat="1" ht="27" customHeight="1" x14ac:dyDescent="0.25">
      <c r="A263" s="129" t="s">
        <v>587</v>
      </c>
      <c r="B263" s="129"/>
      <c r="C263" s="54">
        <v>852</v>
      </c>
      <c r="D263" s="88" t="s">
        <v>93</v>
      </c>
      <c r="E263" s="88" t="s">
        <v>51</v>
      </c>
      <c r="F263" s="88" t="s">
        <v>163</v>
      </c>
      <c r="G263" s="3"/>
      <c r="H263" s="85">
        <f>H264</f>
        <v>3948.904</v>
      </c>
      <c r="I263" s="85">
        <f>I264</f>
        <v>0</v>
      </c>
      <c r="J263" s="85">
        <f>J264</f>
        <v>3599.8139999999999</v>
      </c>
    </row>
    <row r="264" spans="1:13" s="1" customFormat="1" ht="18.75" customHeight="1" x14ac:dyDescent="0.25">
      <c r="A264" s="55"/>
      <c r="B264" s="59" t="s">
        <v>101</v>
      </c>
      <c r="C264" s="54">
        <v>852</v>
      </c>
      <c r="D264" s="3" t="s">
        <v>93</v>
      </c>
      <c r="E264" s="3" t="s">
        <v>51</v>
      </c>
      <c r="F264" s="3" t="s">
        <v>163</v>
      </c>
      <c r="G264" s="3" t="s">
        <v>102</v>
      </c>
      <c r="H264" s="85">
        <v>3948.904</v>
      </c>
      <c r="I264" s="85"/>
      <c r="J264" s="85">
        <v>3599.8139999999999</v>
      </c>
      <c r="K264" s="110"/>
      <c r="M264" s="110"/>
    </row>
    <row r="265" spans="1:13" s="1" customFormat="1" ht="18.75" hidden="1" customHeight="1" x14ac:dyDescent="0.25">
      <c r="A265" s="55"/>
      <c r="B265" s="59" t="s">
        <v>164</v>
      </c>
      <c r="C265" s="54">
        <v>852</v>
      </c>
      <c r="D265" s="3"/>
      <c r="E265" s="3"/>
      <c r="F265" s="3"/>
      <c r="G265" s="3"/>
      <c r="H265" s="85" t="e">
        <f>[1]Функц.!#REF!</f>
        <v>#REF!</v>
      </c>
      <c r="I265" s="85"/>
      <c r="J265" s="85" t="e">
        <f>H265+I265</f>
        <v>#REF!</v>
      </c>
    </row>
    <row r="266" spans="1:13" s="1" customFormat="1" ht="18.75" hidden="1" customHeight="1" x14ac:dyDescent="0.25">
      <c r="A266" s="55"/>
      <c r="B266" s="59" t="s">
        <v>165</v>
      </c>
      <c r="C266" s="54">
        <v>852</v>
      </c>
      <c r="D266" s="3"/>
      <c r="E266" s="3"/>
      <c r="F266" s="3"/>
      <c r="G266" s="3"/>
      <c r="H266" s="85" t="e">
        <f>[1]Функц.!#REF!</f>
        <v>#REF!</v>
      </c>
      <c r="I266" s="85"/>
      <c r="J266" s="85" t="e">
        <f>H266+I266</f>
        <v>#REF!</v>
      </c>
    </row>
    <row r="267" spans="1:13" s="1" customFormat="1" ht="15.75" customHeight="1" x14ac:dyDescent="0.25">
      <c r="A267" s="129" t="s">
        <v>166</v>
      </c>
      <c r="B267" s="129"/>
      <c r="C267" s="54">
        <v>852</v>
      </c>
      <c r="D267" s="88" t="s">
        <v>93</v>
      </c>
      <c r="E267" s="88" t="s">
        <v>51</v>
      </c>
      <c r="F267" s="88" t="s">
        <v>167</v>
      </c>
      <c r="G267" s="3"/>
      <c r="H267" s="85">
        <f>H268</f>
        <v>42</v>
      </c>
      <c r="I267" s="85">
        <f>I268</f>
        <v>4.0999999999999996</v>
      </c>
      <c r="J267" s="85">
        <f>J268</f>
        <v>44.1</v>
      </c>
    </row>
    <row r="268" spans="1:13" s="1" customFormat="1" ht="18.75" customHeight="1" x14ac:dyDescent="0.25">
      <c r="A268" s="55"/>
      <c r="B268" s="59" t="s">
        <v>101</v>
      </c>
      <c r="C268" s="54">
        <v>852</v>
      </c>
      <c r="D268" s="3" t="s">
        <v>93</v>
      </c>
      <c r="E268" s="3" t="s">
        <v>51</v>
      </c>
      <c r="F268" s="3" t="s">
        <v>167</v>
      </c>
      <c r="G268" s="3" t="s">
        <v>102</v>
      </c>
      <c r="H268" s="85">
        <v>42</v>
      </c>
      <c r="I268" s="85">
        <v>4.0999999999999996</v>
      </c>
      <c r="J268" s="85">
        <v>44.1</v>
      </c>
      <c r="K268" s="110"/>
      <c r="L268" s="1">
        <v>4.0999999999999996</v>
      </c>
      <c r="M268" s="110"/>
    </row>
    <row r="269" spans="1:13" s="1" customFormat="1" ht="18.75" hidden="1" customHeight="1" x14ac:dyDescent="0.25">
      <c r="A269" s="55"/>
      <c r="B269" s="59" t="s">
        <v>164</v>
      </c>
      <c r="C269" s="54">
        <v>852</v>
      </c>
      <c r="D269" s="3"/>
      <c r="E269" s="3"/>
      <c r="F269" s="3"/>
      <c r="G269" s="3"/>
      <c r="H269" s="85" t="e">
        <f>[1]Функц.!#REF!</f>
        <v>#REF!</v>
      </c>
      <c r="I269" s="85"/>
      <c r="J269" s="85" t="e">
        <f>H269+I269</f>
        <v>#REF!</v>
      </c>
    </row>
    <row r="270" spans="1:13" s="1" customFormat="1" ht="18.75" hidden="1" customHeight="1" x14ac:dyDescent="0.25">
      <c r="A270" s="55"/>
      <c r="B270" s="59" t="s">
        <v>165</v>
      </c>
      <c r="C270" s="54">
        <v>852</v>
      </c>
      <c r="D270" s="3"/>
      <c r="E270" s="3"/>
      <c r="F270" s="3"/>
      <c r="G270" s="3"/>
      <c r="H270" s="85" t="e">
        <f>[1]Функц.!#REF!</f>
        <v>#REF!</v>
      </c>
      <c r="I270" s="85"/>
      <c r="J270" s="85" t="e">
        <f>H270+I270</f>
        <v>#REF!</v>
      </c>
    </row>
    <row r="271" spans="1:13" s="1" customFormat="1" ht="27" customHeight="1" x14ac:dyDescent="0.25">
      <c r="A271" s="129" t="s">
        <v>168</v>
      </c>
      <c r="B271" s="129"/>
      <c r="C271" s="54">
        <v>852</v>
      </c>
      <c r="D271" s="3" t="s">
        <v>93</v>
      </c>
      <c r="E271" s="3" t="s">
        <v>51</v>
      </c>
      <c r="F271" s="3" t="s">
        <v>590</v>
      </c>
      <c r="G271" s="3"/>
      <c r="H271" s="85">
        <f>H272</f>
        <v>48.095999999999997</v>
      </c>
      <c r="I271" s="85">
        <f>I272</f>
        <v>-12.096</v>
      </c>
      <c r="J271" s="85">
        <f>H271+I271</f>
        <v>36</v>
      </c>
    </row>
    <row r="272" spans="1:13" s="1" customFormat="1" ht="17.25" customHeight="1" x14ac:dyDescent="0.25">
      <c r="A272" s="55"/>
      <c r="B272" s="59" t="s">
        <v>101</v>
      </c>
      <c r="C272" s="54">
        <v>852</v>
      </c>
      <c r="D272" s="88" t="s">
        <v>93</v>
      </c>
      <c r="E272" s="88" t="s">
        <v>51</v>
      </c>
      <c r="F272" s="88" t="s">
        <v>590</v>
      </c>
      <c r="G272" s="88" t="s">
        <v>102</v>
      </c>
      <c r="H272" s="85">
        <v>48.095999999999997</v>
      </c>
      <c r="I272" s="85">
        <v>-12.096</v>
      </c>
      <c r="J272" s="85">
        <f>H272+I272</f>
        <v>36</v>
      </c>
      <c r="K272" s="110"/>
      <c r="L272" s="1">
        <v>-12.096</v>
      </c>
      <c r="M272" s="110"/>
    </row>
    <row r="273" spans="1:12" s="1" customFormat="1" ht="18" customHeight="1" x14ac:dyDescent="0.25">
      <c r="A273" s="129" t="s">
        <v>591</v>
      </c>
      <c r="B273" s="129"/>
      <c r="C273" s="54">
        <v>852</v>
      </c>
      <c r="D273" s="88" t="s">
        <v>93</v>
      </c>
      <c r="E273" s="88" t="s">
        <v>51</v>
      </c>
      <c r="F273" s="88" t="s">
        <v>592</v>
      </c>
      <c r="G273" s="3"/>
      <c r="H273" s="85">
        <f>H274</f>
        <v>1545.5640000000001</v>
      </c>
      <c r="I273" s="85">
        <f>I274</f>
        <v>0</v>
      </c>
      <c r="J273" s="85">
        <f>J274</f>
        <v>1469.482</v>
      </c>
    </row>
    <row r="274" spans="1:12" s="1" customFormat="1" ht="18.75" customHeight="1" x14ac:dyDescent="0.25">
      <c r="A274" s="55"/>
      <c r="B274" s="59" t="s">
        <v>101</v>
      </c>
      <c r="C274" s="54">
        <v>852</v>
      </c>
      <c r="D274" s="3" t="s">
        <v>93</v>
      </c>
      <c r="E274" s="3" t="s">
        <v>51</v>
      </c>
      <c r="F274" s="3" t="s">
        <v>592</v>
      </c>
      <c r="G274" s="3" t="s">
        <v>102</v>
      </c>
      <c r="H274" s="85">
        <v>1545.5640000000001</v>
      </c>
      <c r="I274" s="85"/>
      <c r="J274" s="85">
        <v>1469.482</v>
      </c>
    </row>
    <row r="275" spans="1:12" s="1" customFormat="1" ht="18.75" hidden="1" customHeight="1" x14ac:dyDescent="0.25">
      <c r="A275" s="55"/>
      <c r="B275" s="59" t="s">
        <v>164</v>
      </c>
      <c r="C275" s="54">
        <v>852</v>
      </c>
      <c r="D275" s="3"/>
      <c r="E275" s="3"/>
      <c r="F275" s="3"/>
      <c r="G275" s="3"/>
      <c r="H275" s="85" t="e">
        <f>[1]Функц.!#REF!</f>
        <v>#REF!</v>
      </c>
      <c r="I275" s="85"/>
      <c r="J275" s="85" t="e">
        <f>H275+I275</f>
        <v>#REF!</v>
      </c>
    </row>
    <row r="276" spans="1:12" s="1" customFormat="1" ht="18.75" hidden="1" customHeight="1" x14ac:dyDescent="0.25">
      <c r="A276" s="55"/>
      <c r="B276" s="59" t="s">
        <v>165</v>
      </c>
      <c r="C276" s="54">
        <v>852</v>
      </c>
      <c r="D276" s="3"/>
      <c r="E276" s="3"/>
      <c r="F276" s="3"/>
      <c r="G276" s="3"/>
      <c r="H276" s="85" t="e">
        <f>[1]Функц.!#REF!</f>
        <v>#REF!</v>
      </c>
      <c r="I276" s="85"/>
      <c r="J276" s="85" t="e">
        <f>H276+I276</f>
        <v>#REF!</v>
      </c>
    </row>
    <row r="277" spans="1:12" s="1" customFormat="1" ht="17.25" customHeight="1" x14ac:dyDescent="0.25">
      <c r="A277" s="129" t="s">
        <v>593</v>
      </c>
      <c r="B277" s="129"/>
      <c r="C277" s="54">
        <v>852</v>
      </c>
      <c r="D277" s="88" t="s">
        <v>93</v>
      </c>
      <c r="E277" s="88" t="s">
        <v>51</v>
      </c>
      <c r="F277" s="88" t="s">
        <v>594</v>
      </c>
      <c r="G277" s="3"/>
      <c r="H277" s="85">
        <f>H278</f>
        <v>17.5</v>
      </c>
      <c r="I277" s="85">
        <f>I278</f>
        <v>-1.5</v>
      </c>
      <c r="J277" s="85">
        <f>J278</f>
        <v>16</v>
      </c>
    </row>
    <row r="278" spans="1:12" s="1" customFormat="1" ht="18.75" customHeight="1" x14ac:dyDescent="0.25">
      <c r="A278" s="55"/>
      <c r="B278" s="59" t="s">
        <v>101</v>
      </c>
      <c r="C278" s="54">
        <v>852</v>
      </c>
      <c r="D278" s="3" t="s">
        <v>93</v>
      </c>
      <c r="E278" s="3" t="s">
        <v>51</v>
      </c>
      <c r="F278" s="3" t="s">
        <v>594</v>
      </c>
      <c r="G278" s="3" t="s">
        <v>102</v>
      </c>
      <c r="H278" s="85">
        <v>17.5</v>
      </c>
      <c r="I278" s="85">
        <v>-1.5</v>
      </c>
      <c r="J278" s="85">
        <f>H278+I278</f>
        <v>16</v>
      </c>
      <c r="L278" s="1">
        <v>-1.5</v>
      </c>
    </row>
    <row r="279" spans="1:12" s="1" customFormat="1" ht="18.75" hidden="1" customHeight="1" x14ac:dyDescent="0.25">
      <c r="A279" s="55"/>
      <c r="B279" s="59" t="s">
        <v>164</v>
      </c>
      <c r="C279" s="54">
        <v>852</v>
      </c>
      <c r="D279" s="3"/>
      <c r="E279" s="3"/>
      <c r="F279" s="3"/>
      <c r="G279" s="3"/>
      <c r="H279" s="85" t="e">
        <f>[1]Функц.!#REF!</f>
        <v>#REF!</v>
      </c>
      <c r="I279" s="85"/>
      <c r="J279" s="85" t="e">
        <f>H279+I279</f>
        <v>#REF!</v>
      </c>
    </row>
    <row r="280" spans="1:12" s="1" customFormat="1" ht="18.75" hidden="1" customHeight="1" x14ac:dyDescent="0.25">
      <c r="A280" s="55"/>
      <c r="B280" s="59" t="s">
        <v>165</v>
      </c>
      <c r="C280" s="54">
        <v>852</v>
      </c>
      <c r="D280" s="3"/>
      <c r="E280" s="3"/>
      <c r="F280" s="3"/>
      <c r="G280" s="3"/>
      <c r="H280" s="85" t="e">
        <f>[1]Функц.!#REF!</f>
        <v>#REF!</v>
      </c>
      <c r="I280" s="85"/>
      <c r="J280" s="85" t="e">
        <f>H280+I280</f>
        <v>#REF!</v>
      </c>
    </row>
    <row r="281" spans="1:12" s="1" customFormat="1" ht="25.5" customHeight="1" x14ac:dyDescent="0.25">
      <c r="A281" s="129" t="s">
        <v>595</v>
      </c>
      <c r="B281" s="129"/>
      <c r="C281" s="54">
        <v>852</v>
      </c>
      <c r="D281" s="3" t="s">
        <v>93</v>
      </c>
      <c r="E281" s="3" t="s">
        <v>51</v>
      </c>
      <c r="F281" s="3" t="s">
        <v>596</v>
      </c>
      <c r="G281" s="3"/>
      <c r="H281" s="85">
        <f>H282</f>
        <v>18.036000000000001</v>
      </c>
      <c r="I281" s="85">
        <f>I282</f>
        <v>-3.5999999999999997E-2</v>
      </c>
      <c r="J281" s="85">
        <f>J282</f>
        <v>18</v>
      </c>
    </row>
    <row r="282" spans="1:12" s="1" customFormat="1" ht="17.25" customHeight="1" x14ac:dyDescent="0.25">
      <c r="A282" s="55"/>
      <c r="B282" s="59" t="s">
        <v>101</v>
      </c>
      <c r="C282" s="54">
        <v>852</v>
      </c>
      <c r="D282" s="88" t="s">
        <v>93</v>
      </c>
      <c r="E282" s="88" t="s">
        <v>51</v>
      </c>
      <c r="F282" s="88" t="s">
        <v>596</v>
      </c>
      <c r="G282" s="88" t="s">
        <v>102</v>
      </c>
      <c r="H282" s="85">
        <v>18.036000000000001</v>
      </c>
      <c r="I282" s="85">
        <v>-3.5999999999999997E-2</v>
      </c>
      <c r="J282" s="85">
        <f>H282+I282</f>
        <v>18</v>
      </c>
      <c r="L282" s="1">
        <v>-3.5999999999999997E-2</v>
      </c>
    </row>
    <row r="283" spans="1:12" s="1" customFormat="1" ht="17.25" customHeight="1" x14ac:dyDescent="0.25">
      <c r="A283" s="139" t="s">
        <v>597</v>
      </c>
      <c r="B283" s="140"/>
      <c r="C283" s="54">
        <v>852</v>
      </c>
      <c r="D283" s="88" t="s">
        <v>93</v>
      </c>
      <c r="E283" s="88" t="s">
        <v>51</v>
      </c>
      <c r="F283" s="88" t="s">
        <v>598</v>
      </c>
      <c r="G283" s="88"/>
      <c r="H283" s="85">
        <f>H284</f>
        <v>0</v>
      </c>
      <c r="I283" s="85">
        <f>I284</f>
        <v>1584.8</v>
      </c>
      <c r="J283" s="85">
        <f>J284</f>
        <v>1584.8</v>
      </c>
    </row>
    <row r="284" spans="1:12" s="1" customFormat="1" ht="17.25" customHeight="1" x14ac:dyDescent="0.25">
      <c r="A284" s="139" t="s">
        <v>599</v>
      </c>
      <c r="B284" s="140"/>
      <c r="C284" s="54">
        <v>852</v>
      </c>
      <c r="D284" s="88" t="s">
        <v>93</v>
      </c>
      <c r="E284" s="88" t="s">
        <v>51</v>
      </c>
      <c r="F284" s="88" t="s">
        <v>600</v>
      </c>
      <c r="G284" s="88"/>
      <c r="H284" s="85">
        <f>H285+H287+H289+H291+H293</f>
        <v>0</v>
      </c>
      <c r="I284" s="85">
        <f>I285+I287+I289+I291+I293</f>
        <v>1584.8</v>
      </c>
      <c r="J284" s="85">
        <f>J285+J287+J289+J291+J293</f>
        <v>1584.8</v>
      </c>
    </row>
    <row r="285" spans="1:12" s="1" customFormat="1" ht="17.25" customHeight="1" x14ac:dyDescent="0.25">
      <c r="A285" s="139" t="s">
        <v>601</v>
      </c>
      <c r="B285" s="140"/>
      <c r="C285" s="54">
        <v>852</v>
      </c>
      <c r="D285" s="88" t="s">
        <v>93</v>
      </c>
      <c r="E285" s="88" t="s">
        <v>51</v>
      </c>
      <c r="F285" s="88" t="s">
        <v>602</v>
      </c>
      <c r="G285" s="88"/>
      <c r="H285" s="85">
        <f>H286</f>
        <v>0</v>
      </c>
      <c r="I285" s="85">
        <f>I286</f>
        <v>1149.8</v>
      </c>
      <c r="J285" s="85">
        <f>J286</f>
        <v>1149.8</v>
      </c>
    </row>
    <row r="286" spans="1:12" s="1" customFormat="1" ht="18.75" customHeight="1" x14ac:dyDescent="0.25">
      <c r="A286" s="55"/>
      <c r="B286" s="59" t="s">
        <v>101</v>
      </c>
      <c r="C286" s="54">
        <v>852</v>
      </c>
      <c r="D286" s="3" t="s">
        <v>93</v>
      </c>
      <c r="E286" s="3" t="s">
        <v>51</v>
      </c>
      <c r="F286" s="3" t="s">
        <v>602</v>
      </c>
      <c r="G286" s="3" t="s">
        <v>102</v>
      </c>
      <c r="H286" s="85"/>
      <c r="I286" s="85">
        <v>1149.8</v>
      </c>
      <c r="J286" s="85">
        <f>H286+I286</f>
        <v>1149.8</v>
      </c>
      <c r="L286" s="1">
        <v>1149.8</v>
      </c>
    </row>
    <row r="287" spans="1:12" s="1" customFormat="1" ht="17.25" customHeight="1" x14ac:dyDescent="0.25">
      <c r="A287" s="139" t="s">
        <v>603</v>
      </c>
      <c r="B287" s="140"/>
      <c r="C287" s="54">
        <v>852</v>
      </c>
      <c r="D287" s="88" t="s">
        <v>93</v>
      </c>
      <c r="E287" s="88" t="s">
        <v>51</v>
      </c>
      <c r="F287" s="88" t="s">
        <v>604</v>
      </c>
      <c r="G287" s="88"/>
      <c r="H287" s="85">
        <f>H288</f>
        <v>0</v>
      </c>
      <c r="I287" s="85">
        <f>I288</f>
        <v>156</v>
      </c>
      <c r="J287" s="85">
        <f>J288</f>
        <v>156</v>
      </c>
    </row>
    <row r="288" spans="1:12" s="1" customFormat="1" ht="18.75" customHeight="1" x14ac:dyDescent="0.25">
      <c r="A288" s="55"/>
      <c r="B288" s="59" t="s">
        <v>101</v>
      </c>
      <c r="C288" s="54">
        <v>852</v>
      </c>
      <c r="D288" s="3" t="s">
        <v>93</v>
      </c>
      <c r="E288" s="3" t="s">
        <v>51</v>
      </c>
      <c r="F288" s="3" t="s">
        <v>604</v>
      </c>
      <c r="G288" s="3" t="s">
        <v>102</v>
      </c>
      <c r="H288" s="85"/>
      <c r="I288" s="85">
        <v>156</v>
      </c>
      <c r="J288" s="85">
        <f>H288+I288</f>
        <v>156</v>
      </c>
      <c r="L288" s="1">
        <v>156</v>
      </c>
    </row>
    <row r="289" spans="1:23" s="1" customFormat="1" ht="17.25" customHeight="1" x14ac:dyDescent="0.25">
      <c r="A289" s="139" t="s">
        <v>605</v>
      </c>
      <c r="B289" s="140"/>
      <c r="C289" s="54">
        <v>852</v>
      </c>
      <c r="D289" s="88" t="s">
        <v>93</v>
      </c>
      <c r="E289" s="88" t="s">
        <v>51</v>
      </c>
      <c r="F289" s="88" t="s">
        <v>606</v>
      </c>
      <c r="G289" s="88"/>
      <c r="H289" s="85">
        <f>H290</f>
        <v>0</v>
      </c>
      <c r="I289" s="85">
        <f>I290</f>
        <v>95</v>
      </c>
      <c r="J289" s="85">
        <f>J290</f>
        <v>95</v>
      </c>
    </row>
    <row r="290" spans="1:23" s="1" customFormat="1" ht="18.75" customHeight="1" x14ac:dyDescent="0.25">
      <c r="A290" s="55"/>
      <c r="B290" s="59" t="s">
        <v>101</v>
      </c>
      <c r="C290" s="54">
        <v>852</v>
      </c>
      <c r="D290" s="3" t="s">
        <v>93</v>
      </c>
      <c r="E290" s="3" t="s">
        <v>51</v>
      </c>
      <c r="F290" s="3" t="s">
        <v>606</v>
      </c>
      <c r="G290" s="3" t="s">
        <v>102</v>
      </c>
      <c r="H290" s="85"/>
      <c r="I290" s="85">
        <v>95</v>
      </c>
      <c r="J290" s="85">
        <f>H290+I290</f>
        <v>95</v>
      </c>
      <c r="L290" s="1">
        <v>95</v>
      </c>
    </row>
    <row r="291" spans="1:23" s="1" customFormat="1" ht="17.25" customHeight="1" x14ac:dyDescent="0.25">
      <c r="A291" s="139" t="s">
        <v>607</v>
      </c>
      <c r="B291" s="140"/>
      <c r="C291" s="54">
        <v>852</v>
      </c>
      <c r="D291" s="88" t="s">
        <v>93</v>
      </c>
      <c r="E291" s="88" t="s">
        <v>51</v>
      </c>
      <c r="F291" s="88" t="s">
        <v>608</v>
      </c>
      <c r="G291" s="88"/>
      <c r="H291" s="85">
        <f>H292</f>
        <v>0</v>
      </c>
      <c r="I291" s="85">
        <f>I292</f>
        <v>45</v>
      </c>
      <c r="J291" s="85">
        <f>J292</f>
        <v>45</v>
      </c>
    </row>
    <row r="292" spans="1:23" s="1" customFormat="1" ht="18.75" customHeight="1" x14ac:dyDescent="0.25">
      <c r="A292" s="55"/>
      <c r="B292" s="59" t="s">
        <v>101</v>
      </c>
      <c r="C292" s="54">
        <v>852</v>
      </c>
      <c r="D292" s="3" t="s">
        <v>93</v>
      </c>
      <c r="E292" s="3" t="s">
        <v>51</v>
      </c>
      <c r="F292" s="3" t="s">
        <v>608</v>
      </c>
      <c r="G292" s="3" t="s">
        <v>102</v>
      </c>
      <c r="H292" s="85"/>
      <c r="I292" s="85">
        <v>45</v>
      </c>
      <c r="J292" s="85">
        <f>H292+I292</f>
        <v>45</v>
      </c>
      <c r="L292" s="1">
        <v>45</v>
      </c>
    </row>
    <row r="293" spans="1:23" s="1" customFormat="1" ht="17.25" customHeight="1" x14ac:dyDescent="0.25">
      <c r="A293" s="139" t="s">
        <v>609</v>
      </c>
      <c r="B293" s="140"/>
      <c r="C293" s="54">
        <v>852</v>
      </c>
      <c r="D293" s="88" t="s">
        <v>93</v>
      </c>
      <c r="E293" s="88" t="s">
        <v>51</v>
      </c>
      <c r="F293" s="88" t="s">
        <v>610</v>
      </c>
      <c r="G293" s="88"/>
      <c r="H293" s="85">
        <f>H294</f>
        <v>0</v>
      </c>
      <c r="I293" s="85">
        <f>I294</f>
        <v>139</v>
      </c>
      <c r="J293" s="85">
        <f>J294</f>
        <v>139</v>
      </c>
    </row>
    <row r="294" spans="1:23" s="1" customFormat="1" ht="18.75" customHeight="1" x14ac:dyDescent="0.25">
      <c r="A294" s="55"/>
      <c r="B294" s="59" t="s">
        <v>101</v>
      </c>
      <c r="C294" s="54">
        <v>852</v>
      </c>
      <c r="D294" s="3" t="s">
        <v>93</v>
      </c>
      <c r="E294" s="3" t="s">
        <v>51</v>
      </c>
      <c r="F294" s="3" t="s">
        <v>610</v>
      </c>
      <c r="G294" s="3" t="s">
        <v>102</v>
      </c>
      <c r="H294" s="85"/>
      <c r="I294" s="85">
        <v>139</v>
      </c>
      <c r="J294" s="85">
        <f>H294+I294</f>
        <v>139</v>
      </c>
      <c r="L294" s="1">
        <v>139</v>
      </c>
    </row>
    <row r="295" spans="1:23" s="1" customFormat="1" ht="15.75" customHeight="1" x14ac:dyDescent="0.25">
      <c r="A295" s="141" t="s">
        <v>169</v>
      </c>
      <c r="B295" s="141"/>
      <c r="C295" s="54">
        <v>852</v>
      </c>
      <c r="D295" s="3" t="s">
        <v>93</v>
      </c>
      <c r="E295" s="3" t="s">
        <v>51</v>
      </c>
      <c r="F295" s="3" t="s">
        <v>170</v>
      </c>
      <c r="G295" s="3"/>
      <c r="H295" s="85">
        <f t="shared" ref="H295:J296" si="26">H296</f>
        <v>1430.1</v>
      </c>
      <c r="I295" s="85">
        <f t="shared" si="26"/>
        <v>0</v>
      </c>
      <c r="J295" s="85">
        <f t="shared" si="26"/>
        <v>1430.1</v>
      </c>
    </row>
    <row r="296" spans="1:23" s="1" customFormat="1" ht="15.75" customHeight="1" x14ac:dyDescent="0.25">
      <c r="A296" s="129" t="s">
        <v>171</v>
      </c>
      <c r="B296" s="129"/>
      <c r="C296" s="54">
        <v>852</v>
      </c>
      <c r="D296" s="3" t="s">
        <v>93</v>
      </c>
      <c r="E296" s="3" t="s">
        <v>51</v>
      </c>
      <c r="F296" s="3" t="s">
        <v>172</v>
      </c>
      <c r="G296" s="3"/>
      <c r="H296" s="85">
        <f t="shared" si="26"/>
        <v>1430.1</v>
      </c>
      <c r="I296" s="85">
        <f t="shared" si="26"/>
        <v>0</v>
      </c>
      <c r="J296" s="85">
        <f t="shared" si="26"/>
        <v>1430.1</v>
      </c>
    </row>
    <row r="297" spans="1:23" s="1" customFormat="1" ht="17.25" customHeight="1" x14ac:dyDescent="0.25">
      <c r="A297" s="55"/>
      <c r="B297" s="59" t="s">
        <v>101</v>
      </c>
      <c r="C297" s="54">
        <v>852</v>
      </c>
      <c r="D297" s="3" t="s">
        <v>93</v>
      </c>
      <c r="E297" s="3" t="s">
        <v>51</v>
      </c>
      <c r="F297" s="3" t="s">
        <v>172</v>
      </c>
      <c r="G297" s="3" t="s">
        <v>102</v>
      </c>
      <c r="H297" s="85">
        <v>1430.1</v>
      </c>
      <c r="I297" s="85"/>
      <c r="J297" s="85">
        <f>H297+I297</f>
        <v>1430.1</v>
      </c>
    </row>
    <row r="298" spans="1:23" s="2" customFormat="1" ht="14.25" customHeight="1" x14ac:dyDescent="0.25">
      <c r="A298" s="129" t="s">
        <v>275</v>
      </c>
      <c r="B298" s="129"/>
      <c r="C298" s="54">
        <v>852</v>
      </c>
      <c r="D298" s="88" t="s">
        <v>93</v>
      </c>
      <c r="E298" s="88" t="s">
        <v>51</v>
      </c>
      <c r="F298" s="88" t="s">
        <v>540</v>
      </c>
      <c r="G298" s="88"/>
      <c r="H298" s="85">
        <f>H299</f>
        <v>52399.8</v>
      </c>
      <c r="I298" s="85">
        <f>I299</f>
        <v>1427.4</v>
      </c>
      <c r="J298" s="85">
        <f>J299</f>
        <v>53827.200000000004</v>
      </c>
    </row>
    <row r="299" spans="1:23" s="1" customFormat="1" ht="54" customHeight="1" x14ac:dyDescent="0.25">
      <c r="A299" s="129" t="s">
        <v>541</v>
      </c>
      <c r="B299" s="129"/>
      <c r="C299" s="54">
        <v>852</v>
      </c>
      <c r="D299" s="3" t="s">
        <v>93</v>
      </c>
      <c r="E299" s="3" t="s">
        <v>51</v>
      </c>
      <c r="F299" s="3" t="s">
        <v>542</v>
      </c>
      <c r="G299" s="3"/>
      <c r="H299" s="85">
        <f>H300+H302+H304</f>
        <v>52399.8</v>
      </c>
      <c r="I299" s="85">
        <f>I300+I302+I304</f>
        <v>1427.4</v>
      </c>
      <c r="J299" s="85">
        <f>J300+J302+J304</f>
        <v>53827.200000000004</v>
      </c>
      <c r="L299" s="14"/>
      <c r="M299" s="14"/>
      <c r="Q299" s="15"/>
      <c r="R299" s="1">
        <v>541.02857142857147</v>
      </c>
      <c r="S299" s="1">
        <v>-104.02857142857147</v>
      </c>
      <c r="T299" s="1">
        <v>474.02857142857147</v>
      </c>
      <c r="U299" s="1">
        <v>87.616180819602874</v>
      </c>
      <c r="V299" s="11">
        <v>-67</v>
      </c>
      <c r="W299" s="11">
        <v>72.219679633867287</v>
      </c>
    </row>
    <row r="300" spans="1:23" s="1" customFormat="1" ht="27.75" customHeight="1" x14ac:dyDescent="0.25">
      <c r="A300" s="129" t="s">
        <v>177</v>
      </c>
      <c r="B300" s="129"/>
      <c r="C300" s="54">
        <v>852</v>
      </c>
      <c r="D300" s="3" t="s">
        <v>93</v>
      </c>
      <c r="E300" s="3" t="s">
        <v>51</v>
      </c>
      <c r="F300" s="3" t="s">
        <v>611</v>
      </c>
      <c r="G300" s="3"/>
      <c r="H300" s="85">
        <f>H301</f>
        <v>46582</v>
      </c>
      <c r="I300" s="85">
        <f>I301</f>
        <v>1657.4</v>
      </c>
      <c r="J300" s="85">
        <f>J301</f>
        <v>48239.4</v>
      </c>
      <c r="L300" s="14"/>
      <c r="M300" s="14"/>
      <c r="Q300" s="15"/>
      <c r="R300" s="1">
        <v>5370.5142857142855</v>
      </c>
      <c r="S300" s="1">
        <v>-1270.5142857142855</v>
      </c>
      <c r="T300" s="1">
        <v>4746.1142857142859</v>
      </c>
      <c r="U300" s="1">
        <v>88.373552945182169</v>
      </c>
      <c r="V300" s="11">
        <v>-624.4</v>
      </c>
      <c r="W300" s="11">
        <v>76.409756097560972</v>
      </c>
    </row>
    <row r="301" spans="1:23" s="1" customFormat="1" ht="16.5" customHeight="1" x14ac:dyDescent="0.25">
      <c r="A301" s="55"/>
      <c r="B301" s="59" t="s">
        <v>101</v>
      </c>
      <c r="C301" s="54">
        <v>852</v>
      </c>
      <c r="D301" s="3" t="s">
        <v>93</v>
      </c>
      <c r="E301" s="3" t="s">
        <v>51</v>
      </c>
      <c r="F301" s="3" t="s">
        <v>611</v>
      </c>
      <c r="G301" s="3" t="s">
        <v>102</v>
      </c>
      <c r="H301" s="85">
        <v>46582</v>
      </c>
      <c r="I301" s="85">
        <v>1657.4</v>
      </c>
      <c r="J301" s="85">
        <f>H301+I301</f>
        <v>48239.4</v>
      </c>
      <c r="L301" s="14"/>
      <c r="M301" s="14"/>
      <c r="Q301" s="15"/>
      <c r="R301" s="1">
        <v>36.685714285714283</v>
      </c>
      <c r="S301" s="1">
        <v>-9.2857142857142847</v>
      </c>
      <c r="T301" s="1">
        <v>32.48571428571428</v>
      </c>
      <c r="U301" s="1">
        <v>88.55140186915888</v>
      </c>
      <c r="V301" s="11">
        <v>-4.2</v>
      </c>
      <c r="W301" s="11">
        <v>78.102189781021892</v>
      </c>
    </row>
    <row r="302" spans="1:23" s="1" customFormat="1" ht="51" customHeight="1" x14ac:dyDescent="0.25">
      <c r="A302" s="129" t="s">
        <v>580</v>
      </c>
      <c r="B302" s="129"/>
      <c r="C302" s="54">
        <v>852</v>
      </c>
      <c r="D302" s="3" t="s">
        <v>93</v>
      </c>
      <c r="E302" s="3" t="s">
        <v>51</v>
      </c>
      <c r="F302" s="3" t="s">
        <v>581</v>
      </c>
      <c r="G302" s="3"/>
      <c r="H302" s="85">
        <f>H303</f>
        <v>24</v>
      </c>
      <c r="I302" s="85">
        <f>I303</f>
        <v>0</v>
      </c>
      <c r="J302" s="85">
        <f>J303</f>
        <v>24</v>
      </c>
      <c r="L302" s="14"/>
      <c r="M302" s="14"/>
      <c r="Q302" s="15"/>
      <c r="V302" s="11">
        <v>0</v>
      </c>
      <c r="W302" s="11"/>
    </row>
    <row r="303" spans="1:23" s="1" customFormat="1" ht="16.5" customHeight="1" x14ac:dyDescent="0.25">
      <c r="A303" s="55"/>
      <c r="B303" s="59" t="s">
        <v>101</v>
      </c>
      <c r="C303" s="54">
        <v>852</v>
      </c>
      <c r="D303" s="3" t="s">
        <v>93</v>
      </c>
      <c r="E303" s="3" t="s">
        <v>51</v>
      </c>
      <c r="F303" s="3" t="s">
        <v>581</v>
      </c>
      <c r="G303" s="3" t="s">
        <v>102</v>
      </c>
      <c r="H303" s="85">
        <v>24</v>
      </c>
      <c r="I303" s="85"/>
      <c r="J303" s="85">
        <f>H303+I303</f>
        <v>24</v>
      </c>
    </row>
    <row r="304" spans="1:23" s="1" customFormat="1" ht="63.75" customHeight="1" x14ac:dyDescent="0.25">
      <c r="A304" s="129" t="s">
        <v>582</v>
      </c>
      <c r="B304" s="129"/>
      <c r="C304" s="54">
        <v>852</v>
      </c>
      <c r="D304" s="3" t="s">
        <v>93</v>
      </c>
      <c r="E304" s="3" t="s">
        <v>51</v>
      </c>
      <c r="F304" s="3" t="s">
        <v>583</v>
      </c>
      <c r="G304" s="3"/>
      <c r="H304" s="85">
        <f>H305</f>
        <v>5793.8</v>
      </c>
      <c r="I304" s="85">
        <f>I305</f>
        <v>-230</v>
      </c>
      <c r="J304" s="85">
        <f>J305</f>
        <v>5563.8</v>
      </c>
    </row>
    <row r="305" spans="1:12" s="1" customFormat="1" ht="13.5" customHeight="1" x14ac:dyDescent="0.25">
      <c r="A305" s="55"/>
      <c r="B305" s="59" t="s">
        <v>101</v>
      </c>
      <c r="C305" s="54">
        <v>852</v>
      </c>
      <c r="D305" s="3" t="s">
        <v>93</v>
      </c>
      <c r="E305" s="3" t="s">
        <v>51</v>
      </c>
      <c r="F305" s="3" t="s">
        <v>583</v>
      </c>
      <c r="G305" s="3" t="s">
        <v>102</v>
      </c>
      <c r="H305" s="85">
        <v>5793.8</v>
      </c>
      <c r="I305" s="85">
        <v>-230</v>
      </c>
      <c r="J305" s="85">
        <f>H305+I305</f>
        <v>5563.8</v>
      </c>
      <c r="L305" s="1">
        <v>-230</v>
      </c>
    </row>
    <row r="306" spans="1:12" s="6" customFormat="1" ht="16.5" customHeight="1" x14ac:dyDescent="0.25">
      <c r="A306" s="128" t="s">
        <v>178</v>
      </c>
      <c r="B306" s="128"/>
      <c r="C306" s="50">
        <v>852</v>
      </c>
      <c r="D306" s="81" t="s">
        <v>93</v>
      </c>
      <c r="E306" s="81" t="s">
        <v>93</v>
      </c>
      <c r="F306" s="81"/>
      <c r="G306" s="81"/>
      <c r="H306" s="86">
        <f>H307</f>
        <v>90</v>
      </c>
      <c r="I306" s="86">
        <f t="shared" ref="I306:J308" si="27">I307</f>
        <v>0</v>
      </c>
      <c r="J306" s="86">
        <f t="shared" si="27"/>
        <v>85.5</v>
      </c>
    </row>
    <row r="307" spans="1:12" s="1" customFormat="1" ht="18" customHeight="1" x14ac:dyDescent="0.25">
      <c r="A307" s="129" t="s">
        <v>545</v>
      </c>
      <c r="B307" s="129"/>
      <c r="C307" s="54">
        <v>852</v>
      </c>
      <c r="D307" s="3" t="s">
        <v>93</v>
      </c>
      <c r="E307" s="3" t="s">
        <v>93</v>
      </c>
      <c r="F307" s="3" t="s">
        <v>244</v>
      </c>
      <c r="G307" s="3"/>
      <c r="H307" s="85">
        <f>H308</f>
        <v>90</v>
      </c>
      <c r="I307" s="85">
        <f t="shared" si="27"/>
        <v>0</v>
      </c>
      <c r="J307" s="85">
        <f t="shared" si="27"/>
        <v>85.5</v>
      </c>
    </row>
    <row r="308" spans="1:12" s="1" customFormat="1" ht="26.25" customHeight="1" x14ac:dyDescent="0.25">
      <c r="A308" s="129" t="s">
        <v>692</v>
      </c>
      <c r="B308" s="129"/>
      <c r="C308" s="54">
        <v>852</v>
      </c>
      <c r="D308" s="3" t="s">
        <v>93</v>
      </c>
      <c r="E308" s="3" t="s">
        <v>93</v>
      </c>
      <c r="F308" s="3" t="s">
        <v>615</v>
      </c>
      <c r="G308" s="3"/>
      <c r="H308" s="85">
        <f>H309</f>
        <v>90</v>
      </c>
      <c r="I308" s="85">
        <f t="shared" si="27"/>
        <v>0</v>
      </c>
      <c r="J308" s="85">
        <f t="shared" si="27"/>
        <v>85.5</v>
      </c>
    </row>
    <row r="309" spans="1:12" s="1" customFormat="1" ht="25.5" customHeight="1" x14ac:dyDescent="0.25">
      <c r="A309" s="55"/>
      <c r="B309" s="59" t="s">
        <v>179</v>
      </c>
      <c r="C309" s="54">
        <v>852</v>
      </c>
      <c r="D309" s="3" t="s">
        <v>93</v>
      </c>
      <c r="E309" s="3" t="s">
        <v>93</v>
      </c>
      <c r="F309" s="3" t="s">
        <v>615</v>
      </c>
      <c r="G309" s="3" t="s">
        <v>180</v>
      </c>
      <c r="H309" s="85">
        <v>90</v>
      </c>
      <c r="I309" s="85"/>
      <c r="J309" s="85">
        <v>85.5</v>
      </c>
    </row>
    <row r="310" spans="1:12" s="6" customFormat="1" ht="15.75" customHeight="1" x14ac:dyDescent="0.25">
      <c r="A310" s="128" t="s">
        <v>181</v>
      </c>
      <c r="B310" s="128"/>
      <c r="C310" s="50">
        <v>852</v>
      </c>
      <c r="D310" s="81" t="s">
        <v>93</v>
      </c>
      <c r="E310" s="81" t="s">
        <v>64</v>
      </c>
      <c r="F310" s="81"/>
      <c r="G310" s="81"/>
      <c r="H310" s="86">
        <f>H311+H315+H318+H324+H332+H336+H341</f>
        <v>6842.2000000000007</v>
      </c>
      <c r="I310" s="86">
        <f>I311+I315+I318+I324+I332+I336+I341</f>
        <v>2478.9029999999998</v>
      </c>
      <c r="J310" s="86">
        <f>J311+J315+J318+J324+J332+J336+J341</f>
        <v>8791.0630000000001</v>
      </c>
    </row>
    <row r="311" spans="1:12" s="1" customFormat="1" ht="39" customHeight="1" x14ac:dyDescent="0.25">
      <c r="A311" s="129" t="s">
        <v>9</v>
      </c>
      <c r="B311" s="129"/>
      <c r="C311" s="54">
        <v>852</v>
      </c>
      <c r="D311" s="3" t="s">
        <v>93</v>
      </c>
      <c r="E311" s="3" t="s">
        <v>64</v>
      </c>
      <c r="F311" s="3" t="s">
        <v>19</v>
      </c>
      <c r="G311" s="3"/>
      <c r="H311" s="85">
        <f>H312</f>
        <v>703.5</v>
      </c>
      <c r="I311" s="85">
        <f t="shared" ref="I311:J313" si="28">I312</f>
        <v>0</v>
      </c>
      <c r="J311" s="85">
        <f t="shared" si="28"/>
        <v>726.404</v>
      </c>
    </row>
    <row r="312" spans="1:12" s="1" customFormat="1" ht="12.75" customHeight="1" x14ac:dyDescent="0.25">
      <c r="A312" s="129" t="s">
        <v>11</v>
      </c>
      <c r="B312" s="129"/>
      <c r="C312" s="54">
        <v>852</v>
      </c>
      <c r="D312" s="3" t="s">
        <v>93</v>
      </c>
      <c r="E312" s="3" t="s">
        <v>64</v>
      </c>
      <c r="F312" s="3" t="s">
        <v>12</v>
      </c>
      <c r="G312" s="3"/>
      <c r="H312" s="85">
        <f>H313</f>
        <v>703.5</v>
      </c>
      <c r="I312" s="85">
        <f t="shared" si="28"/>
        <v>0</v>
      </c>
      <c r="J312" s="85">
        <f t="shared" si="28"/>
        <v>726.404</v>
      </c>
    </row>
    <row r="313" spans="1:12" s="1" customFormat="1" ht="15.75" customHeight="1" x14ac:dyDescent="0.25">
      <c r="A313" s="129" t="s">
        <v>616</v>
      </c>
      <c r="B313" s="129"/>
      <c r="C313" s="54">
        <v>852</v>
      </c>
      <c r="D313" s="3" t="s">
        <v>93</v>
      </c>
      <c r="E313" s="3" t="s">
        <v>64</v>
      </c>
      <c r="F313" s="3" t="s">
        <v>182</v>
      </c>
      <c r="G313" s="3"/>
      <c r="H313" s="85">
        <f>H314</f>
        <v>703.5</v>
      </c>
      <c r="I313" s="85">
        <f t="shared" si="28"/>
        <v>0</v>
      </c>
      <c r="J313" s="85">
        <f t="shared" si="28"/>
        <v>726.404</v>
      </c>
    </row>
    <row r="314" spans="1:12" s="1" customFormat="1" ht="12.75" x14ac:dyDescent="0.25">
      <c r="A314" s="55"/>
      <c r="B314" s="84" t="s">
        <v>40</v>
      </c>
      <c r="C314" s="54">
        <v>852</v>
      </c>
      <c r="D314" s="3" t="s">
        <v>93</v>
      </c>
      <c r="E314" s="3" t="s">
        <v>64</v>
      </c>
      <c r="F314" s="3" t="s">
        <v>182</v>
      </c>
      <c r="G314" s="3" t="s">
        <v>41</v>
      </c>
      <c r="H314" s="85">
        <v>703.5</v>
      </c>
      <c r="I314" s="85"/>
      <c r="J314" s="85">
        <v>726.404</v>
      </c>
    </row>
    <row r="315" spans="1:12" s="1" customFormat="1" ht="15.75" customHeight="1" x14ac:dyDescent="0.25">
      <c r="A315" s="139" t="s">
        <v>617</v>
      </c>
      <c r="B315" s="140"/>
      <c r="C315" s="54">
        <v>852</v>
      </c>
      <c r="D315" s="3" t="s">
        <v>93</v>
      </c>
      <c r="E315" s="3" t="s">
        <v>64</v>
      </c>
      <c r="F315" s="3" t="s">
        <v>618</v>
      </c>
      <c r="G315" s="3"/>
      <c r="H315" s="85">
        <f t="shared" ref="H315:J316" si="29">H316</f>
        <v>0</v>
      </c>
      <c r="I315" s="85">
        <f t="shared" si="29"/>
        <v>561.6</v>
      </c>
      <c r="J315" s="85">
        <f t="shared" si="29"/>
        <v>561.6</v>
      </c>
    </row>
    <row r="316" spans="1:12" s="1" customFormat="1" ht="15.75" customHeight="1" x14ac:dyDescent="0.25">
      <c r="A316" s="139" t="s">
        <v>619</v>
      </c>
      <c r="B316" s="140"/>
      <c r="C316" s="54">
        <v>852</v>
      </c>
      <c r="D316" s="3" t="s">
        <v>93</v>
      </c>
      <c r="E316" s="3" t="s">
        <v>64</v>
      </c>
      <c r="F316" s="3" t="s">
        <v>620</v>
      </c>
      <c r="G316" s="3"/>
      <c r="H316" s="85">
        <f t="shared" si="29"/>
        <v>0</v>
      </c>
      <c r="I316" s="85">
        <f t="shared" si="29"/>
        <v>561.6</v>
      </c>
      <c r="J316" s="85">
        <f t="shared" si="29"/>
        <v>561.6</v>
      </c>
    </row>
    <row r="317" spans="1:12" s="1" customFormat="1" ht="15.75" customHeight="1" x14ac:dyDescent="0.25">
      <c r="A317" s="55"/>
      <c r="B317" s="84" t="s">
        <v>40</v>
      </c>
      <c r="C317" s="54">
        <v>852</v>
      </c>
      <c r="D317" s="3" t="s">
        <v>93</v>
      </c>
      <c r="E317" s="3" t="s">
        <v>64</v>
      </c>
      <c r="F317" s="3" t="s">
        <v>620</v>
      </c>
      <c r="G317" s="3" t="s">
        <v>102</v>
      </c>
      <c r="H317" s="85"/>
      <c r="I317" s="85">
        <v>561.6</v>
      </c>
      <c r="J317" s="85">
        <f>H317+I317</f>
        <v>561.6</v>
      </c>
    </row>
    <row r="318" spans="1:12" s="1" customFormat="1" ht="14.25" customHeight="1" x14ac:dyDescent="0.25">
      <c r="A318" s="129" t="s">
        <v>183</v>
      </c>
      <c r="B318" s="129"/>
      <c r="C318" s="54">
        <v>852</v>
      </c>
      <c r="D318" s="3" t="s">
        <v>93</v>
      </c>
      <c r="E318" s="3" t="s">
        <v>64</v>
      </c>
      <c r="F318" s="3" t="s">
        <v>184</v>
      </c>
      <c r="G318" s="3"/>
      <c r="H318" s="85">
        <f>H319</f>
        <v>387.7</v>
      </c>
      <c r="I318" s="85">
        <f>I319</f>
        <v>0</v>
      </c>
      <c r="J318" s="85">
        <f>J319</f>
        <v>340.065</v>
      </c>
    </row>
    <row r="319" spans="1:12" s="1" customFormat="1" ht="16.5" customHeight="1" x14ac:dyDescent="0.25">
      <c r="A319" s="129" t="s">
        <v>97</v>
      </c>
      <c r="B319" s="129"/>
      <c r="C319" s="54">
        <v>852</v>
      </c>
      <c r="D319" s="3" t="s">
        <v>93</v>
      </c>
      <c r="E319" s="3" t="s">
        <v>64</v>
      </c>
      <c r="F319" s="3" t="s">
        <v>185</v>
      </c>
      <c r="G319" s="3"/>
      <c r="H319" s="85">
        <f>H320+H322</f>
        <v>387.7</v>
      </c>
      <c r="I319" s="85">
        <f>I320+I322</f>
        <v>0</v>
      </c>
      <c r="J319" s="85">
        <f>J320+J322</f>
        <v>340.065</v>
      </c>
    </row>
    <row r="320" spans="1:12" s="1" customFormat="1" ht="28.5" customHeight="1" x14ac:dyDescent="0.25">
      <c r="A320" s="129" t="s">
        <v>186</v>
      </c>
      <c r="B320" s="129"/>
      <c r="C320" s="54">
        <v>852</v>
      </c>
      <c r="D320" s="3" t="s">
        <v>93</v>
      </c>
      <c r="E320" s="3" t="s">
        <v>64</v>
      </c>
      <c r="F320" s="3" t="s">
        <v>187</v>
      </c>
      <c r="G320" s="3"/>
      <c r="H320" s="85">
        <f>H321</f>
        <v>379.7</v>
      </c>
      <c r="I320" s="85">
        <f>I321</f>
        <v>0</v>
      </c>
      <c r="J320" s="85">
        <f>J321</f>
        <v>332.065</v>
      </c>
    </row>
    <row r="321" spans="1:12" s="1" customFormat="1" ht="15.75" customHeight="1" x14ac:dyDescent="0.25">
      <c r="A321" s="55"/>
      <c r="B321" s="84" t="s">
        <v>40</v>
      </c>
      <c r="C321" s="54">
        <v>852</v>
      </c>
      <c r="D321" s="3" t="s">
        <v>93</v>
      </c>
      <c r="E321" s="3" t="s">
        <v>64</v>
      </c>
      <c r="F321" s="3" t="s">
        <v>188</v>
      </c>
      <c r="G321" s="3" t="s">
        <v>102</v>
      </c>
      <c r="H321" s="85">
        <v>379.7</v>
      </c>
      <c r="I321" s="85"/>
      <c r="J321" s="85">
        <v>332.065</v>
      </c>
    </row>
    <row r="322" spans="1:12" s="1" customFormat="1" ht="29.25" customHeight="1" x14ac:dyDescent="0.25">
      <c r="A322" s="129" t="s">
        <v>189</v>
      </c>
      <c r="B322" s="129"/>
      <c r="C322" s="54">
        <v>852</v>
      </c>
      <c r="D322" s="3" t="s">
        <v>93</v>
      </c>
      <c r="E322" s="3" t="s">
        <v>64</v>
      </c>
      <c r="F322" s="3" t="s">
        <v>190</v>
      </c>
      <c r="G322" s="3"/>
      <c r="H322" s="85">
        <f>H323</f>
        <v>8</v>
      </c>
      <c r="I322" s="85">
        <f>I323</f>
        <v>0</v>
      </c>
      <c r="J322" s="85">
        <f>J323</f>
        <v>8</v>
      </c>
    </row>
    <row r="323" spans="1:12" s="1" customFormat="1" ht="17.25" customHeight="1" x14ac:dyDescent="0.25">
      <c r="A323" s="55"/>
      <c r="B323" s="59" t="s">
        <v>101</v>
      </c>
      <c r="C323" s="54">
        <v>852</v>
      </c>
      <c r="D323" s="88" t="s">
        <v>93</v>
      </c>
      <c r="E323" s="88" t="s">
        <v>64</v>
      </c>
      <c r="F323" s="3" t="s">
        <v>190</v>
      </c>
      <c r="G323" s="88" t="s">
        <v>102</v>
      </c>
      <c r="H323" s="85">
        <v>8</v>
      </c>
      <c r="I323" s="85"/>
      <c r="J323" s="85">
        <f>H323+I323</f>
        <v>8</v>
      </c>
    </row>
    <row r="324" spans="1:12" s="1" customFormat="1" ht="41.25" customHeight="1" x14ac:dyDescent="0.25">
      <c r="A324" s="129" t="s">
        <v>191</v>
      </c>
      <c r="B324" s="129"/>
      <c r="C324" s="54">
        <v>852</v>
      </c>
      <c r="D324" s="3" t="s">
        <v>93</v>
      </c>
      <c r="E324" s="3" t="s">
        <v>64</v>
      </c>
      <c r="F324" s="3" t="s">
        <v>192</v>
      </c>
      <c r="G324" s="3"/>
      <c r="H324" s="85">
        <f>H325</f>
        <v>3527.9</v>
      </c>
      <c r="I324" s="85">
        <f>I325</f>
        <v>1589.232</v>
      </c>
      <c r="J324" s="85">
        <f>J325</f>
        <v>4637.3760000000002</v>
      </c>
    </row>
    <row r="325" spans="1:12" s="1" customFormat="1" ht="15" customHeight="1" x14ac:dyDescent="0.25">
      <c r="A325" s="129" t="s">
        <v>97</v>
      </c>
      <c r="B325" s="129"/>
      <c r="C325" s="54">
        <v>852</v>
      </c>
      <c r="D325" s="3" t="s">
        <v>93</v>
      </c>
      <c r="E325" s="3" t="s">
        <v>64</v>
      </c>
      <c r="F325" s="3" t="s">
        <v>193</v>
      </c>
      <c r="G325" s="3"/>
      <c r="H325" s="85">
        <f>H326+H328+H330</f>
        <v>3527.9</v>
      </c>
      <c r="I325" s="85">
        <f>I326+I328+I330</f>
        <v>1589.232</v>
      </c>
      <c r="J325" s="85">
        <f>J326+J328+J330</f>
        <v>4637.3760000000002</v>
      </c>
    </row>
    <row r="326" spans="1:12" s="1" customFormat="1" ht="15.75" customHeight="1" x14ac:dyDescent="0.25">
      <c r="A326" s="129" t="s">
        <v>194</v>
      </c>
      <c r="B326" s="129"/>
      <c r="C326" s="54">
        <v>852</v>
      </c>
      <c r="D326" s="88" t="s">
        <v>93</v>
      </c>
      <c r="E326" s="88" t="s">
        <v>64</v>
      </c>
      <c r="F326" s="3" t="s">
        <v>195</v>
      </c>
      <c r="G326" s="3"/>
      <c r="H326" s="85">
        <f>H327</f>
        <v>3493.9</v>
      </c>
      <c r="I326" s="85">
        <f>I327</f>
        <v>1589.232</v>
      </c>
      <c r="J326" s="85">
        <f>J327</f>
        <v>4603.3760000000002</v>
      </c>
    </row>
    <row r="327" spans="1:12" s="1" customFormat="1" ht="15.75" customHeight="1" x14ac:dyDescent="0.25">
      <c r="A327" s="55"/>
      <c r="B327" s="59" t="s">
        <v>101</v>
      </c>
      <c r="C327" s="54">
        <v>852</v>
      </c>
      <c r="D327" s="3" t="s">
        <v>93</v>
      </c>
      <c r="E327" s="3" t="s">
        <v>64</v>
      </c>
      <c r="F327" s="3" t="s">
        <v>195</v>
      </c>
      <c r="G327" s="3" t="s">
        <v>102</v>
      </c>
      <c r="H327" s="85">
        <v>3493.9</v>
      </c>
      <c r="I327" s="85">
        <v>1589.232</v>
      </c>
      <c r="J327" s="85">
        <v>4603.3760000000002</v>
      </c>
      <c r="L327" s="1">
        <v>1589.232</v>
      </c>
    </row>
    <row r="328" spans="1:12" s="1" customFormat="1" ht="15.75" customHeight="1" x14ac:dyDescent="0.25">
      <c r="A328" s="129" t="s">
        <v>196</v>
      </c>
      <c r="B328" s="129"/>
      <c r="C328" s="54">
        <v>852</v>
      </c>
      <c r="D328" s="88" t="s">
        <v>93</v>
      </c>
      <c r="E328" s="88" t="s">
        <v>64</v>
      </c>
      <c r="F328" s="3" t="s">
        <v>197</v>
      </c>
      <c r="G328" s="3"/>
      <c r="H328" s="85">
        <f>H329</f>
        <v>12</v>
      </c>
      <c r="I328" s="85">
        <f>I329</f>
        <v>4</v>
      </c>
      <c r="J328" s="85">
        <f>J329</f>
        <v>16</v>
      </c>
    </row>
    <row r="329" spans="1:12" s="1" customFormat="1" ht="16.5" customHeight="1" x14ac:dyDescent="0.25">
      <c r="A329" s="55"/>
      <c r="B329" s="59" t="s">
        <v>101</v>
      </c>
      <c r="C329" s="54">
        <v>852</v>
      </c>
      <c r="D329" s="3" t="s">
        <v>93</v>
      </c>
      <c r="E329" s="3" t="s">
        <v>64</v>
      </c>
      <c r="F329" s="3" t="s">
        <v>197</v>
      </c>
      <c r="G329" s="3" t="s">
        <v>102</v>
      </c>
      <c r="H329" s="85">
        <v>12</v>
      </c>
      <c r="I329" s="85">
        <v>4</v>
      </c>
      <c r="J329" s="85">
        <f>H329+I329</f>
        <v>16</v>
      </c>
      <c r="L329" s="1">
        <v>4</v>
      </c>
    </row>
    <row r="330" spans="1:12" s="1" customFormat="1" ht="15" customHeight="1" x14ac:dyDescent="0.25">
      <c r="A330" s="129" t="s">
        <v>198</v>
      </c>
      <c r="B330" s="129"/>
      <c r="C330" s="54">
        <v>852</v>
      </c>
      <c r="D330" s="3" t="s">
        <v>93</v>
      </c>
      <c r="E330" s="3" t="s">
        <v>64</v>
      </c>
      <c r="F330" s="3" t="s">
        <v>199</v>
      </c>
      <c r="G330" s="3"/>
      <c r="H330" s="85">
        <f>H331</f>
        <v>22</v>
      </c>
      <c r="I330" s="85">
        <f>I331</f>
        <v>-4</v>
      </c>
      <c r="J330" s="85">
        <f>J331</f>
        <v>18</v>
      </c>
    </row>
    <row r="331" spans="1:12" s="1" customFormat="1" ht="17.25" customHeight="1" x14ac:dyDescent="0.25">
      <c r="A331" s="55"/>
      <c r="B331" s="59" t="s">
        <v>101</v>
      </c>
      <c r="C331" s="54">
        <v>852</v>
      </c>
      <c r="D331" s="88" t="s">
        <v>93</v>
      </c>
      <c r="E331" s="88" t="s">
        <v>64</v>
      </c>
      <c r="F331" s="3" t="s">
        <v>199</v>
      </c>
      <c r="G331" s="88" t="s">
        <v>102</v>
      </c>
      <c r="H331" s="85">
        <v>22</v>
      </c>
      <c r="I331" s="85">
        <v>-4</v>
      </c>
      <c r="J331" s="85">
        <f>H331+I331</f>
        <v>18</v>
      </c>
      <c r="L331" s="1">
        <v>-4</v>
      </c>
    </row>
    <row r="332" spans="1:12" s="2" customFormat="1" ht="16.5" customHeight="1" x14ac:dyDescent="0.25">
      <c r="A332" s="129" t="s">
        <v>275</v>
      </c>
      <c r="B332" s="129"/>
      <c r="C332" s="54">
        <v>852</v>
      </c>
      <c r="D332" s="88" t="s">
        <v>93</v>
      </c>
      <c r="E332" s="88" t="s">
        <v>64</v>
      </c>
      <c r="F332" s="88" t="s">
        <v>540</v>
      </c>
      <c r="G332" s="88"/>
      <c r="H332" s="85">
        <f>H333</f>
        <v>65.099999999999994</v>
      </c>
      <c r="I332" s="85">
        <f t="shared" ref="I332:J334" si="30">I333</f>
        <v>0</v>
      </c>
      <c r="J332" s="85">
        <f t="shared" si="30"/>
        <v>65.099999999999994</v>
      </c>
    </row>
    <row r="333" spans="1:12" s="1" customFormat="1" ht="53.25" customHeight="1" x14ac:dyDescent="0.25">
      <c r="A333" s="129" t="s">
        <v>541</v>
      </c>
      <c r="B333" s="129"/>
      <c r="C333" s="54">
        <v>852</v>
      </c>
      <c r="D333" s="3" t="s">
        <v>93</v>
      </c>
      <c r="E333" s="3" t="s">
        <v>64</v>
      </c>
      <c r="F333" s="3" t="s">
        <v>542</v>
      </c>
      <c r="G333" s="3"/>
      <c r="H333" s="85">
        <f>H334</f>
        <v>65.099999999999994</v>
      </c>
      <c r="I333" s="85">
        <f t="shared" si="30"/>
        <v>0</v>
      </c>
      <c r="J333" s="85">
        <f t="shared" si="30"/>
        <v>65.099999999999994</v>
      </c>
    </row>
    <row r="334" spans="1:12" s="1" customFormat="1" ht="65.25" customHeight="1" x14ac:dyDescent="0.25">
      <c r="A334" s="129" t="s">
        <v>582</v>
      </c>
      <c r="B334" s="129"/>
      <c r="C334" s="54">
        <v>852</v>
      </c>
      <c r="D334" s="3" t="s">
        <v>93</v>
      </c>
      <c r="E334" s="3" t="s">
        <v>64</v>
      </c>
      <c r="F334" s="3" t="s">
        <v>583</v>
      </c>
      <c r="G334" s="3"/>
      <c r="H334" s="85">
        <f>H335</f>
        <v>65.099999999999994</v>
      </c>
      <c r="I334" s="85">
        <f t="shared" si="30"/>
        <v>0</v>
      </c>
      <c r="J334" s="85">
        <f t="shared" si="30"/>
        <v>65.099999999999994</v>
      </c>
    </row>
    <row r="335" spans="1:12" s="1" customFormat="1" ht="16.5" customHeight="1" x14ac:dyDescent="0.25">
      <c r="A335" s="55"/>
      <c r="B335" s="59" t="s">
        <v>101</v>
      </c>
      <c r="C335" s="54">
        <v>852</v>
      </c>
      <c r="D335" s="3" t="s">
        <v>93</v>
      </c>
      <c r="E335" s="3" t="s">
        <v>64</v>
      </c>
      <c r="F335" s="3" t="s">
        <v>583</v>
      </c>
      <c r="G335" s="3" t="s">
        <v>102</v>
      </c>
      <c r="H335" s="85">
        <v>65.099999999999994</v>
      </c>
      <c r="I335" s="85"/>
      <c r="J335" s="85">
        <f>H335+I335</f>
        <v>65.099999999999994</v>
      </c>
    </row>
    <row r="336" spans="1:12" s="1" customFormat="1" ht="18.75" customHeight="1" x14ac:dyDescent="0.25">
      <c r="A336" s="129" t="s">
        <v>621</v>
      </c>
      <c r="B336" s="129"/>
      <c r="C336" s="54">
        <v>852</v>
      </c>
      <c r="D336" s="3" t="s">
        <v>93</v>
      </c>
      <c r="E336" s="3" t="s">
        <v>64</v>
      </c>
      <c r="F336" s="3" t="s">
        <v>47</v>
      </c>
      <c r="G336" s="3"/>
      <c r="H336" s="85">
        <f>H337+H339</f>
        <v>880</v>
      </c>
      <c r="I336" s="85">
        <f>I337+I339</f>
        <v>-376</v>
      </c>
      <c r="J336" s="85">
        <f>J337+J339</f>
        <v>478.447</v>
      </c>
    </row>
    <row r="337" spans="1:12" s="1" customFormat="1" ht="27" customHeight="1" x14ac:dyDescent="0.25">
      <c r="A337" s="129" t="s">
        <v>693</v>
      </c>
      <c r="B337" s="129"/>
      <c r="C337" s="54">
        <v>852</v>
      </c>
      <c r="D337" s="88" t="s">
        <v>93</v>
      </c>
      <c r="E337" s="88" t="s">
        <v>64</v>
      </c>
      <c r="F337" s="88" t="s">
        <v>623</v>
      </c>
      <c r="G337" s="3"/>
      <c r="H337" s="85">
        <f>H338</f>
        <v>730</v>
      </c>
      <c r="I337" s="85">
        <f>I338</f>
        <v>-400</v>
      </c>
      <c r="J337" s="85">
        <f>J338</f>
        <v>313.26900000000001</v>
      </c>
    </row>
    <row r="338" spans="1:12" s="1" customFormat="1" ht="17.25" customHeight="1" x14ac:dyDescent="0.25">
      <c r="A338" s="55"/>
      <c r="B338" s="59" t="s">
        <v>200</v>
      </c>
      <c r="C338" s="54">
        <v>852</v>
      </c>
      <c r="D338" s="3" t="s">
        <v>93</v>
      </c>
      <c r="E338" s="3" t="s">
        <v>64</v>
      </c>
      <c r="F338" s="3" t="s">
        <v>623</v>
      </c>
      <c r="G338" s="3" t="s">
        <v>201</v>
      </c>
      <c r="H338" s="85">
        <v>730</v>
      </c>
      <c r="I338" s="85">
        <v>-400</v>
      </c>
      <c r="J338" s="85">
        <v>313.26900000000001</v>
      </c>
      <c r="L338" s="1">
        <v>-400</v>
      </c>
    </row>
    <row r="339" spans="1:12" s="1" customFormat="1" ht="27" customHeight="1" x14ac:dyDescent="0.25">
      <c r="A339" s="129" t="s">
        <v>624</v>
      </c>
      <c r="B339" s="129"/>
      <c r="C339" s="54">
        <v>852</v>
      </c>
      <c r="D339" s="88" t="s">
        <v>93</v>
      </c>
      <c r="E339" s="88" t="s">
        <v>64</v>
      </c>
      <c r="F339" s="88" t="s">
        <v>625</v>
      </c>
      <c r="G339" s="3"/>
      <c r="H339" s="85">
        <f>H340</f>
        <v>150</v>
      </c>
      <c r="I339" s="85">
        <f>I340</f>
        <v>24</v>
      </c>
      <c r="J339" s="85">
        <f>J340</f>
        <v>165.178</v>
      </c>
    </row>
    <row r="340" spans="1:12" s="1" customFormat="1" ht="17.25" customHeight="1" x14ac:dyDescent="0.25">
      <c r="A340" s="55"/>
      <c r="B340" s="59" t="s">
        <v>200</v>
      </c>
      <c r="C340" s="54">
        <v>852</v>
      </c>
      <c r="D340" s="3" t="s">
        <v>93</v>
      </c>
      <c r="E340" s="3" t="s">
        <v>64</v>
      </c>
      <c r="F340" s="3" t="s">
        <v>625</v>
      </c>
      <c r="G340" s="3" t="s">
        <v>201</v>
      </c>
      <c r="H340" s="85">
        <v>150</v>
      </c>
      <c r="I340" s="85">
        <v>24</v>
      </c>
      <c r="J340" s="85">
        <v>165.178</v>
      </c>
      <c r="L340" s="1">
        <v>24</v>
      </c>
    </row>
    <row r="341" spans="1:12" s="1" customFormat="1" ht="15.75" customHeight="1" x14ac:dyDescent="0.25">
      <c r="A341" s="129" t="s">
        <v>545</v>
      </c>
      <c r="B341" s="129"/>
      <c r="C341" s="54">
        <v>852</v>
      </c>
      <c r="D341" s="3" t="s">
        <v>93</v>
      </c>
      <c r="E341" s="3" t="s">
        <v>64</v>
      </c>
      <c r="F341" s="3" t="s">
        <v>244</v>
      </c>
      <c r="G341" s="3"/>
      <c r="H341" s="85">
        <f>H342+H344+H346+H348</f>
        <v>1278</v>
      </c>
      <c r="I341" s="85">
        <f>I342+I344+I346+I348</f>
        <v>704.07100000000003</v>
      </c>
      <c r="J341" s="85">
        <f>J342+J344+J346+J348</f>
        <v>1982.0709999999999</v>
      </c>
    </row>
    <row r="342" spans="1:12" s="1" customFormat="1" ht="15" customHeight="1" x14ac:dyDescent="0.25">
      <c r="A342" s="129" t="s">
        <v>626</v>
      </c>
      <c r="B342" s="129"/>
      <c r="C342" s="54">
        <v>852</v>
      </c>
      <c r="D342" s="88" t="s">
        <v>93</v>
      </c>
      <c r="E342" s="88" t="s">
        <v>64</v>
      </c>
      <c r="F342" s="88" t="s">
        <v>627</v>
      </c>
      <c r="G342" s="3"/>
      <c r="H342" s="85">
        <f>H343</f>
        <v>1218.0999999999999</v>
      </c>
      <c r="I342" s="85">
        <f>I343</f>
        <v>0</v>
      </c>
      <c r="J342" s="85">
        <f>H342+I342</f>
        <v>1218.0999999999999</v>
      </c>
      <c r="K342" s="9"/>
    </row>
    <row r="343" spans="1:12" s="1" customFormat="1" ht="17.25" customHeight="1" x14ac:dyDescent="0.25">
      <c r="A343" s="55"/>
      <c r="B343" s="59" t="s">
        <v>200</v>
      </c>
      <c r="C343" s="54">
        <v>852</v>
      </c>
      <c r="D343" s="3" t="s">
        <v>93</v>
      </c>
      <c r="E343" s="3" t="s">
        <v>64</v>
      </c>
      <c r="F343" s="3" t="s">
        <v>627</v>
      </c>
      <c r="G343" s="3" t="s">
        <v>201</v>
      </c>
      <c r="H343" s="85">
        <v>1218.0999999999999</v>
      </c>
      <c r="I343" s="83"/>
      <c r="J343" s="83">
        <v>1218.0999999999999</v>
      </c>
      <c r="K343" s="9"/>
    </row>
    <row r="344" spans="1:12" s="1" customFormat="1" ht="16.5" customHeight="1" x14ac:dyDescent="0.25">
      <c r="A344" s="129" t="s">
        <v>628</v>
      </c>
      <c r="B344" s="129"/>
      <c r="C344" s="54">
        <v>852</v>
      </c>
      <c r="D344" s="88" t="s">
        <v>93</v>
      </c>
      <c r="E344" s="88" t="s">
        <v>64</v>
      </c>
      <c r="F344" s="88" t="s">
        <v>629</v>
      </c>
      <c r="G344" s="3"/>
      <c r="H344" s="85">
        <f>H345</f>
        <v>54.9</v>
      </c>
      <c r="I344" s="85">
        <f>I345</f>
        <v>625.07100000000003</v>
      </c>
      <c r="J344" s="85">
        <f>H344+I344</f>
        <v>679.971</v>
      </c>
      <c r="K344" s="9"/>
    </row>
    <row r="345" spans="1:12" s="1" customFormat="1" ht="17.25" customHeight="1" x14ac:dyDescent="0.25">
      <c r="A345" s="55"/>
      <c r="B345" s="59" t="s">
        <v>200</v>
      </c>
      <c r="C345" s="54">
        <v>852</v>
      </c>
      <c r="D345" s="3" t="s">
        <v>93</v>
      </c>
      <c r="E345" s="3" t="s">
        <v>64</v>
      </c>
      <c r="F345" s="3" t="s">
        <v>629</v>
      </c>
      <c r="G345" s="3" t="s">
        <v>201</v>
      </c>
      <c r="H345" s="85">
        <v>54.9</v>
      </c>
      <c r="I345" s="83">
        <v>625.07100000000003</v>
      </c>
      <c r="J345" s="85">
        <f>H345+I345</f>
        <v>679.971</v>
      </c>
      <c r="K345" s="9"/>
    </row>
    <row r="346" spans="1:12" s="1" customFormat="1" ht="27.75" customHeight="1" x14ac:dyDescent="0.25">
      <c r="A346" s="129" t="s">
        <v>630</v>
      </c>
      <c r="B346" s="129"/>
      <c r="C346" s="54">
        <v>852</v>
      </c>
      <c r="D346" s="88" t="s">
        <v>93</v>
      </c>
      <c r="E346" s="88" t="s">
        <v>64</v>
      </c>
      <c r="F346" s="88" t="s">
        <v>631</v>
      </c>
      <c r="G346" s="3"/>
      <c r="H346" s="85">
        <f>H347</f>
        <v>0</v>
      </c>
      <c r="I346" s="85">
        <f>I347</f>
        <v>79</v>
      </c>
      <c r="J346" s="85">
        <f>H346+I346</f>
        <v>79</v>
      </c>
      <c r="K346" s="9"/>
    </row>
    <row r="347" spans="1:12" s="1" customFormat="1" ht="17.25" customHeight="1" x14ac:dyDescent="0.25">
      <c r="A347" s="55"/>
      <c r="B347" s="59" t="s">
        <v>200</v>
      </c>
      <c r="C347" s="54">
        <v>852</v>
      </c>
      <c r="D347" s="3" t="s">
        <v>93</v>
      </c>
      <c r="E347" s="3" t="s">
        <v>64</v>
      </c>
      <c r="F347" s="3" t="s">
        <v>631</v>
      </c>
      <c r="G347" s="3" t="s">
        <v>201</v>
      </c>
      <c r="H347" s="85">
        <v>0</v>
      </c>
      <c r="I347" s="83">
        <v>79</v>
      </c>
      <c r="J347" s="85">
        <f>H347+I347</f>
        <v>79</v>
      </c>
      <c r="K347" s="9"/>
    </row>
    <row r="348" spans="1:12" s="1" customFormat="1" ht="27" customHeight="1" x14ac:dyDescent="0.25">
      <c r="A348" s="129" t="s">
        <v>632</v>
      </c>
      <c r="B348" s="129"/>
      <c r="C348" s="54">
        <v>852</v>
      </c>
      <c r="D348" s="88" t="s">
        <v>93</v>
      </c>
      <c r="E348" s="88" t="s">
        <v>64</v>
      </c>
      <c r="F348" s="88" t="s">
        <v>633</v>
      </c>
      <c r="G348" s="3"/>
      <c r="H348" s="85">
        <f>H349</f>
        <v>5</v>
      </c>
      <c r="I348" s="85">
        <f>I349</f>
        <v>0</v>
      </c>
      <c r="J348" s="85">
        <f>J349</f>
        <v>5</v>
      </c>
    </row>
    <row r="349" spans="1:12" s="1" customFormat="1" ht="17.25" customHeight="1" x14ac:dyDescent="0.25">
      <c r="A349" s="55"/>
      <c r="B349" s="59" t="s">
        <v>200</v>
      </c>
      <c r="C349" s="54">
        <v>852</v>
      </c>
      <c r="D349" s="3" t="s">
        <v>93</v>
      </c>
      <c r="E349" s="3" t="s">
        <v>64</v>
      </c>
      <c r="F349" s="3" t="s">
        <v>633</v>
      </c>
      <c r="G349" s="3" t="s">
        <v>201</v>
      </c>
      <c r="H349" s="85">
        <v>5</v>
      </c>
      <c r="I349" s="85"/>
      <c r="J349" s="85">
        <f>H349+I349</f>
        <v>5</v>
      </c>
    </row>
    <row r="350" spans="1:12" s="4" customFormat="1" ht="16.5" customHeight="1" x14ac:dyDescent="0.25">
      <c r="A350" s="132" t="s">
        <v>224</v>
      </c>
      <c r="B350" s="132"/>
      <c r="C350" s="106">
        <v>852</v>
      </c>
      <c r="D350" s="79" t="s">
        <v>46</v>
      </c>
      <c r="E350" s="79"/>
      <c r="F350" s="79"/>
      <c r="G350" s="79"/>
      <c r="H350" s="80">
        <f>H351+H363+H376</f>
        <v>5756.6999999999989</v>
      </c>
      <c r="I350" s="80">
        <f>I351+I363+I376</f>
        <v>656.3</v>
      </c>
      <c r="J350" s="80">
        <f>J351+J363+J376</f>
        <v>7251.4920000000002</v>
      </c>
    </row>
    <row r="351" spans="1:12" s="6" customFormat="1" ht="18.75" customHeight="1" x14ac:dyDescent="0.25">
      <c r="A351" s="128" t="s">
        <v>232</v>
      </c>
      <c r="B351" s="128"/>
      <c r="C351" s="50">
        <v>852</v>
      </c>
      <c r="D351" s="81" t="s">
        <v>46</v>
      </c>
      <c r="E351" s="81" t="s">
        <v>8</v>
      </c>
      <c r="F351" s="81"/>
      <c r="G351" s="81"/>
      <c r="H351" s="86">
        <f>H352+H357</f>
        <v>168.89999999999998</v>
      </c>
      <c r="I351" s="86">
        <f>I352+I357</f>
        <v>0</v>
      </c>
      <c r="J351" s="86">
        <f>J352+J357</f>
        <v>1007.3920000000001</v>
      </c>
    </row>
    <row r="352" spans="1:12" s="1" customFormat="1" ht="15.75" customHeight="1" x14ac:dyDescent="0.25">
      <c r="A352" s="129" t="s">
        <v>250</v>
      </c>
      <c r="B352" s="129"/>
      <c r="C352" s="54">
        <v>852</v>
      </c>
      <c r="D352" s="3" t="s">
        <v>46</v>
      </c>
      <c r="E352" s="3" t="s">
        <v>8</v>
      </c>
      <c r="F352" s="3" t="s">
        <v>251</v>
      </c>
      <c r="G352" s="3"/>
      <c r="H352" s="85">
        <f>H353+H355</f>
        <v>38.200000000000003</v>
      </c>
      <c r="I352" s="85">
        <f>I353+I355</f>
        <v>0</v>
      </c>
      <c r="J352" s="85">
        <f>J353+J355</f>
        <v>38.200000000000003</v>
      </c>
    </row>
    <row r="353" spans="1:10" s="1" customFormat="1" ht="27.75" customHeight="1" x14ac:dyDescent="0.25">
      <c r="A353" s="129" t="s">
        <v>653</v>
      </c>
      <c r="B353" s="129"/>
      <c r="C353" s="54">
        <v>852</v>
      </c>
      <c r="D353" s="3" t="s">
        <v>46</v>
      </c>
      <c r="E353" s="3" t="s">
        <v>8</v>
      </c>
      <c r="F353" s="3" t="s">
        <v>654</v>
      </c>
      <c r="G353" s="3"/>
      <c r="H353" s="85">
        <f>H354</f>
        <v>0</v>
      </c>
      <c r="I353" s="85">
        <f>I354</f>
        <v>0</v>
      </c>
      <c r="J353" s="85">
        <f>J354</f>
        <v>0</v>
      </c>
    </row>
    <row r="354" spans="1:10" s="1" customFormat="1" ht="16.5" customHeight="1" x14ac:dyDescent="0.25">
      <c r="A354" s="55"/>
      <c r="B354" s="59" t="s">
        <v>230</v>
      </c>
      <c r="C354" s="54">
        <v>852</v>
      </c>
      <c r="D354" s="3" t="s">
        <v>46</v>
      </c>
      <c r="E354" s="3" t="s">
        <v>8</v>
      </c>
      <c r="F354" s="3" t="s">
        <v>654</v>
      </c>
      <c r="G354" s="3" t="s">
        <v>231</v>
      </c>
      <c r="H354" s="85">
        <v>0</v>
      </c>
      <c r="I354" s="85"/>
      <c r="J354" s="85">
        <f>H354+I354</f>
        <v>0</v>
      </c>
    </row>
    <row r="355" spans="1:10" s="1" customFormat="1" ht="27.75" customHeight="1" x14ac:dyDescent="0.25">
      <c r="A355" s="129" t="s">
        <v>653</v>
      </c>
      <c r="B355" s="129"/>
      <c r="C355" s="54">
        <v>852</v>
      </c>
      <c r="D355" s="3" t="s">
        <v>46</v>
      </c>
      <c r="E355" s="3" t="s">
        <v>8</v>
      </c>
      <c r="F355" s="3" t="s">
        <v>655</v>
      </c>
      <c r="G355" s="3"/>
      <c r="H355" s="85">
        <f>H356</f>
        <v>38.200000000000003</v>
      </c>
      <c r="I355" s="85">
        <f>I356</f>
        <v>0</v>
      </c>
      <c r="J355" s="85">
        <f>J356</f>
        <v>38.200000000000003</v>
      </c>
    </row>
    <row r="356" spans="1:10" s="1" customFormat="1" ht="16.5" customHeight="1" x14ac:dyDescent="0.25">
      <c r="A356" s="55"/>
      <c r="B356" s="59" t="s">
        <v>230</v>
      </c>
      <c r="C356" s="54">
        <v>852</v>
      </c>
      <c r="D356" s="3" t="s">
        <v>46</v>
      </c>
      <c r="E356" s="3" t="s">
        <v>8</v>
      </c>
      <c r="F356" s="3" t="s">
        <v>655</v>
      </c>
      <c r="G356" s="3" t="s">
        <v>231</v>
      </c>
      <c r="H356" s="85">
        <v>38.200000000000003</v>
      </c>
      <c r="I356" s="85"/>
      <c r="J356" s="85">
        <f>H356+I356</f>
        <v>38.200000000000003</v>
      </c>
    </row>
    <row r="357" spans="1:10" s="1" customFormat="1" ht="14.25" customHeight="1" x14ac:dyDescent="0.25">
      <c r="A357" s="129" t="s">
        <v>545</v>
      </c>
      <c r="B357" s="129"/>
      <c r="C357" s="54">
        <v>852</v>
      </c>
      <c r="D357" s="3" t="s">
        <v>46</v>
      </c>
      <c r="E357" s="3" t="s">
        <v>8</v>
      </c>
      <c r="F357" s="3" t="s">
        <v>244</v>
      </c>
      <c r="G357" s="3"/>
      <c r="H357" s="85">
        <f>H361</f>
        <v>130.69999999999999</v>
      </c>
      <c r="I357" s="85">
        <f>I361</f>
        <v>0</v>
      </c>
      <c r="J357" s="85">
        <f>J358+J361</f>
        <v>969.19200000000001</v>
      </c>
    </row>
    <row r="358" spans="1:10" s="1" customFormat="1" ht="14.25" customHeight="1" x14ac:dyDescent="0.25">
      <c r="A358" s="129" t="s">
        <v>673</v>
      </c>
      <c r="B358" s="129"/>
      <c r="C358" s="54">
        <v>852</v>
      </c>
      <c r="D358" s="3" t="s">
        <v>46</v>
      </c>
      <c r="E358" s="3" t="s">
        <v>8</v>
      </c>
      <c r="F358" s="3" t="s">
        <v>674</v>
      </c>
      <c r="G358" s="3"/>
      <c r="H358" s="85"/>
      <c r="I358" s="85"/>
      <c r="J358" s="85">
        <f>J359</f>
        <v>888.42600000000004</v>
      </c>
    </row>
    <row r="359" spans="1:10" s="1" customFormat="1" ht="14.25" customHeight="1" x14ac:dyDescent="0.25">
      <c r="A359" s="129" t="s">
        <v>675</v>
      </c>
      <c r="B359" s="129"/>
      <c r="C359" s="54">
        <v>852</v>
      </c>
      <c r="D359" s="3" t="s">
        <v>46</v>
      </c>
      <c r="E359" s="3" t="s">
        <v>8</v>
      </c>
      <c r="F359" s="3" t="s">
        <v>676</v>
      </c>
      <c r="G359" s="3"/>
      <c r="H359" s="85"/>
      <c r="I359" s="85"/>
      <c r="J359" s="85">
        <f>J360</f>
        <v>888.42600000000004</v>
      </c>
    </row>
    <row r="360" spans="1:10" s="1" customFormat="1" ht="14.25" customHeight="1" x14ac:dyDescent="0.25">
      <c r="A360" s="84"/>
      <c r="B360" s="59" t="s">
        <v>230</v>
      </c>
      <c r="C360" s="54">
        <v>852</v>
      </c>
      <c r="D360" s="3" t="s">
        <v>46</v>
      </c>
      <c r="E360" s="3" t="s">
        <v>8</v>
      </c>
      <c r="F360" s="3" t="s">
        <v>676</v>
      </c>
      <c r="G360" s="3" t="s">
        <v>231</v>
      </c>
      <c r="H360" s="85"/>
      <c r="I360" s="85"/>
      <c r="J360" s="85">
        <v>888.42600000000004</v>
      </c>
    </row>
    <row r="361" spans="1:10" s="1" customFormat="1" ht="27.75" customHeight="1" x14ac:dyDescent="0.25">
      <c r="A361" s="134" t="s">
        <v>656</v>
      </c>
      <c r="B361" s="134"/>
      <c r="C361" s="54">
        <v>852</v>
      </c>
      <c r="D361" s="3" t="s">
        <v>46</v>
      </c>
      <c r="E361" s="3" t="s">
        <v>8</v>
      </c>
      <c r="F361" s="3" t="s">
        <v>657</v>
      </c>
      <c r="G361" s="3"/>
      <c r="H361" s="85">
        <f t="shared" ref="H361:J361" si="31">H362</f>
        <v>130.69999999999999</v>
      </c>
      <c r="I361" s="85">
        <f t="shared" si="31"/>
        <v>0</v>
      </c>
      <c r="J361" s="85">
        <f t="shared" si="31"/>
        <v>80.766000000000005</v>
      </c>
    </row>
    <row r="362" spans="1:10" s="1" customFormat="1" ht="16.5" customHeight="1" x14ac:dyDescent="0.25">
      <c r="A362" s="55"/>
      <c r="B362" s="59" t="s">
        <v>230</v>
      </c>
      <c r="C362" s="54">
        <v>852</v>
      </c>
      <c r="D362" s="37">
        <v>10</v>
      </c>
      <c r="E362" s="3" t="s">
        <v>8</v>
      </c>
      <c r="F362" s="3" t="s">
        <v>657</v>
      </c>
      <c r="G362" s="3" t="s">
        <v>231</v>
      </c>
      <c r="H362" s="85">
        <v>130.69999999999999</v>
      </c>
      <c r="I362" s="85"/>
      <c r="J362" s="85">
        <v>80.766000000000005</v>
      </c>
    </row>
    <row r="363" spans="1:10" s="6" customFormat="1" ht="15" customHeight="1" x14ac:dyDescent="0.25">
      <c r="A363" s="128" t="s">
        <v>249</v>
      </c>
      <c r="B363" s="128"/>
      <c r="C363" s="50">
        <v>852</v>
      </c>
      <c r="D363" s="81" t="s">
        <v>46</v>
      </c>
      <c r="E363" s="81" t="s">
        <v>18</v>
      </c>
      <c r="F363" s="81"/>
      <c r="G363" s="81"/>
      <c r="H363" s="86">
        <f>H364+H368</f>
        <v>5117.7999999999993</v>
      </c>
      <c r="I363" s="86">
        <f>I364+I368</f>
        <v>656.3</v>
      </c>
      <c r="J363" s="86">
        <f>J364+J368</f>
        <v>5774.1</v>
      </c>
    </row>
    <row r="364" spans="1:10" s="1" customFormat="1" ht="14.25" customHeight="1" x14ac:dyDescent="0.25">
      <c r="A364" s="141" t="s">
        <v>250</v>
      </c>
      <c r="B364" s="141"/>
      <c r="C364" s="54">
        <v>852</v>
      </c>
      <c r="D364" s="3" t="s">
        <v>46</v>
      </c>
      <c r="E364" s="3" t="s">
        <v>18</v>
      </c>
      <c r="F364" s="3" t="s">
        <v>251</v>
      </c>
      <c r="G364" s="3"/>
      <c r="H364" s="85">
        <f>H365</f>
        <v>142.5</v>
      </c>
      <c r="I364" s="85">
        <f t="shared" ref="I364:J366" si="32">I365</f>
        <v>0</v>
      </c>
      <c r="J364" s="85">
        <f t="shared" si="32"/>
        <v>142.5</v>
      </c>
    </row>
    <row r="365" spans="1:10" s="1" customFormat="1" ht="27" customHeight="1" x14ac:dyDescent="0.25">
      <c r="A365" s="134" t="s">
        <v>252</v>
      </c>
      <c r="B365" s="134"/>
      <c r="C365" s="54">
        <v>852</v>
      </c>
      <c r="D365" s="3" t="s">
        <v>46</v>
      </c>
      <c r="E365" s="3" t="s">
        <v>18</v>
      </c>
      <c r="F365" s="3" t="s">
        <v>253</v>
      </c>
      <c r="G365" s="3"/>
      <c r="H365" s="85">
        <f>H366</f>
        <v>142.5</v>
      </c>
      <c r="I365" s="85">
        <f t="shared" si="32"/>
        <v>0</v>
      </c>
      <c r="J365" s="85">
        <f t="shared" si="32"/>
        <v>142.5</v>
      </c>
    </row>
    <row r="366" spans="1:10" s="1" customFormat="1" ht="27.75" customHeight="1" x14ac:dyDescent="0.25">
      <c r="A366" s="129" t="s">
        <v>254</v>
      </c>
      <c r="B366" s="129"/>
      <c r="C366" s="54">
        <v>852</v>
      </c>
      <c r="D366" s="3" t="s">
        <v>46</v>
      </c>
      <c r="E366" s="3" t="s">
        <v>18</v>
      </c>
      <c r="F366" s="3" t="s">
        <v>255</v>
      </c>
      <c r="G366" s="3"/>
      <c r="H366" s="85">
        <f>H367</f>
        <v>142.5</v>
      </c>
      <c r="I366" s="85">
        <f t="shared" si="32"/>
        <v>0</v>
      </c>
      <c r="J366" s="85">
        <f t="shared" si="32"/>
        <v>142.5</v>
      </c>
    </row>
    <row r="367" spans="1:10" s="1" customFormat="1" ht="15" customHeight="1" x14ac:dyDescent="0.25">
      <c r="A367" s="55"/>
      <c r="B367" s="59" t="s">
        <v>230</v>
      </c>
      <c r="C367" s="54">
        <v>852</v>
      </c>
      <c r="D367" s="3" t="s">
        <v>46</v>
      </c>
      <c r="E367" s="3" t="s">
        <v>18</v>
      </c>
      <c r="F367" s="3" t="s">
        <v>255</v>
      </c>
      <c r="G367" s="3" t="s">
        <v>231</v>
      </c>
      <c r="H367" s="85">
        <v>142.5</v>
      </c>
      <c r="I367" s="85"/>
      <c r="J367" s="85">
        <f>H367+I367</f>
        <v>142.5</v>
      </c>
    </row>
    <row r="368" spans="1:10" s="1" customFormat="1" ht="14.25" customHeight="1" x14ac:dyDescent="0.25">
      <c r="A368" s="141" t="s">
        <v>169</v>
      </c>
      <c r="B368" s="141"/>
      <c r="C368" s="54">
        <v>852</v>
      </c>
      <c r="D368" s="3" t="s">
        <v>46</v>
      </c>
      <c r="E368" s="3" t="s">
        <v>18</v>
      </c>
      <c r="F368" s="3" t="s">
        <v>170</v>
      </c>
      <c r="G368" s="3"/>
      <c r="H368" s="85">
        <f>H369+H371</f>
        <v>4975.2999999999993</v>
      </c>
      <c r="I368" s="85">
        <f>I369+I371</f>
        <v>656.3</v>
      </c>
      <c r="J368" s="85">
        <f>J369+J371</f>
        <v>5631.6</v>
      </c>
    </row>
    <row r="369" spans="1:10" s="1" customFormat="1" ht="28.5" customHeight="1" x14ac:dyDescent="0.25">
      <c r="A369" s="134" t="s">
        <v>658</v>
      </c>
      <c r="B369" s="134"/>
      <c r="C369" s="54">
        <v>852</v>
      </c>
      <c r="D369" s="3" t="s">
        <v>46</v>
      </c>
      <c r="E369" s="3" t="s">
        <v>18</v>
      </c>
      <c r="F369" s="3" t="s">
        <v>256</v>
      </c>
      <c r="G369" s="3"/>
      <c r="H369" s="85">
        <f>H370</f>
        <v>737.4</v>
      </c>
      <c r="I369" s="85">
        <f>I370</f>
        <v>0</v>
      </c>
      <c r="J369" s="85">
        <f>J370</f>
        <v>737.4</v>
      </c>
    </row>
    <row r="370" spans="1:10" s="1" customFormat="1" ht="14.25" customHeight="1" x14ac:dyDescent="0.25">
      <c r="A370" s="55"/>
      <c r="B370" s="59" t="s">
        <v>230</v>
      </c>
      <c r="C370" s="54">
        <v>852</v>
      </c>
      <c r="D370" s="3" t="s">
        <v>46</v>
      </c>
      <c r="E370" s="3" t="s">
        <v>18</v>
      </c>
      <c r="F370" s="3" t="s">
        <v>256</v>
      </c>
      <c r="G370" s="3" t="s">
        <v>231</v>
      </c>
      <c r="H370" s="85">
        <v>737.4</v>
      </c>
      <c r="I370" s="85"/>
      <c r="J370" s="85">
        <f>H370+I370</f>
        <v>737.4</v>
      </c>
    </row>
    <row r="371" spans="1:10" s="1" customFormat="1" ht="29.25" customHeight="1" x14ac:dyDescent="0.25">
      <c r="A371" s="134" t="s">
        <v>257</v>
      </c>
      <c r="B371" s="134"/>
      <c r="C371" s="54">
        <v>852</v>
      </c>
      <c r="D371" s="3" t="s">
        <v>46</v>
      </c>
      <c r="E371" s="3" t="s">
        <v>18</v>
      </c>
      <c r="F371" s="3" t="s">
        <v>258</v>
      </c>
      <c r="G371" s="3"/>
      <c r="H371" s="85">
        <f>H372+H374</f>
        <v>4237.8999999999996</v>
      </c>
      <c r="I371" s="85">
        <f>I372+I374</f>
        <v>656.3</v>
      </c>
      <c r="J371" s="85">
        <f>J372+J374</f>
        <v>4894.2000000000007</v>
      </c>
    </row>
    <row r="372" spans="1:10" s="1" customFormat="1" ht="41.25" customHeight="1" x14ac:dyDescent="0.25">
      <c r="A372" s="129" t="s">
        <v>259</v>
      </c>
      <c r="B372" s="129"/>
      <c r="C372" s="54">
        <v>852</v>
      </c>
      <c r="D372" s="3" t="s">
        <v>260</v>
      </c>
      <c r="E372" s="3" t="s">
        <v>18</v>
      </c>
      <c r="F372" s="3" t="s">
        <v>261</v>
      </c>
      <c r="G372" s="3"/>
      <c r="H372" s="85">
        <f>H373</f>
        <v>2007.5</v>
      </c>
      <c r="I372" s="85">
        <f>I373</f>
        <v>382.5</v>
      </c>
      <c r="J372" s="85">
        <f>J373</f>
        <v>2390</v>
      </c>
    </row>
    <row r="373" spans="1:10" s="1" customFormat="1" ht="15.75" customHeight="1" x14ac:dyDescent="0.25">
      <c r="A373" s="55"/>
      <c r="B373" s="59" t="s">
        <v>230</v>
      </c>
      <c r="C373" s="54">
        <v>852</v>
      </c>
      <c r="D373" s="3" t="s">
        <v>46</v>
      </c>
      <c r="E373" s="3" t="s">
        <v>18</v>
      </c>
      <c r="F373" s="3" t="s">
        <v>261</v>
      </c>
      <c r="G373" s="3" t="s">
        <v>231</v>
      </c>
      <c r="H373" s="85">
        <v>2007.5</v>
      </c>
      <c r="I373" s="85">
        <v>382.5</v>
      </c>
      <c r="J373" s="85">
        <f>H373+I373</f>
        <v>2390</v>
      </c>
    </row>
    <row r="374" spans="1:10" s="1" customFormat="1" ht="25.5" customHeight="1" x14ac:dyDescent="0.25">
      <c r="A374" s="134" t="s">
        <v>262</v>
      </c>
      <c r="B374" s="134"/>
      <c r="C374" s="54">
        <v>852</v>
      </c>
      <c r="D374" s="3" t="s">
        <v>46</v>
      </c>
      <c r="E374" s="3" t="s">
        <v>18</v>
      </c>
      <c r="F374" s="3" t="s">
        <v>263</v>
      </c>
      <c r="G374" s="3"/>
      <c r="H374" s="85">
        <f>H375</f>
        <v>2230.4</v>
      </c>
      <c r="I374" s="85">
        <f>I375</f>
        <v>273.8</v>
      </c>
      <c r="J374" s="85">
        <f>J375</f>
        <v>2504.2000000000003</v>
      </c>
    </row>
    <row r="375" spans="1:10" s="1" customFormat="1" ht="15" customHeight="1" x14ac:dyDescent="0.25">
      <c r="A375" s="55"/>
      <c r="B375" s="59" t="s">
        <v>230</v>
      </c>
      <c r="C375" s="54">
        <v>852</v>
      </c>
      <c r="D375" s="3" t="s">
        <v>46</v>
      </c>
      <c r="E375" s="3" t="s">
        <v>18</v>
      </c>
      <c r="F375" s="3" t="s">
        <v>263</v>
      </c>
      <c r="G375" s="3" t="s">
        <v>231</v>
      </c>
      <c r="H375" s="85">
        <v>2230.4</v>
      </c>
      <c r="I375" s="85">
        <v>273.8</v>
      </c>
      <c r="J375" s="85">
        <f>H375+I375</f>
        <v>2504.2000000000003</v>
      </c>
    </row>
    <row r="376" spans="1:10" s="6" customFormat="1" ht="17.25" customHeight="1" x14ac:dyDescent="0.25">
      <c r="A376" s="128" t="s">
        <v>264</v>
      </c>
      <c r="B376" s="128"/>
      <c r="C376" s="50">
        <v>852</v>
      </c>
      <c r="D376" s="81" t="s">
        <v>46</v>
      </c>
      <c r="E376" s="81" t="s">
        <v>23</v>
      </c>
      <c r="F376" s="81"/>
      <c r="G376" s="81"/>
      <c r="H376" s="86">
        <f t="shared" ref="H376:J377" si="33">H377</f>
        <v>470</v>
      </c>
      <c r="I376" s="86">
        <f t="shared" si="33"/>
        <v>0</v>
      </c>
      <c r="J376" s="86">
        <f t="shared" si="33"/>
        <v>470</v>
      </c>
    </row>
    <row r="377" spans="1:10" s="1" customFormat="1" ht="15" customHeight="1" x14ac:dyDescent="0.25">
      <c r="A377" s="129" t="s">
        <v>275</v>
      </c>
      <c r="B377" s="129"/>
      <c r="C377" s="54">
        <v>852</v>
      </c>
      <c r="D377" s="3" t="s">
        <v>46</v>
      </c>
      <c r="E377" s="3" t="s">
        <v>23</v>
      </c>
      <c r="F377" s="3" t="s">
        <v>540</v>
      </c>
      <c r="G377" s="3"/>
      <c r="H377" s="85">
        <f t="shared" si="33"/>
        <v>470</v>
      </c>
      <c r="I377" s="85">
        <f t="shared" si="33"/>
        <v>0</v>
      </c>
      <c r="J377" s="85">
        <f t="shared" si="33"/>
        <v>470</v>
      </c>
    </row>
    <row r="378" spans="1:10" s="1" customFormat="1" ht="53.25" customHeight="1" x14ac:dyDescent="0.25">
      <c r="A378" s="129" t="s">
        <v>541</v>
      </c>
      <c r="B378" s="129"/>
      <c r="C378" s="54">
        <v>852</v>
      </c>
      <c r="D378" s="88" t="s">
        <v>46</v>
      </c>
      <c r="E378" s="88" t="s">
        <v>23</v>
      </c>
      <c r="F378" s="88" t="s">
        <v>542</v>
      </c>
      <c r="G378" s="88"/>
      <c r="H378" s="85">
        <f>H379+H381</f>
        <v>470</v>
      </c>
      <c r="I378" s="85">
        <f>I379+I381</f>
        <v>0</v>
      </c>
      <c r="J378" s="85">
        <f>J379+J381</f>
        <v>470</v>
      </c>
    </row>
    <row r="379" spans="1:10" s="1" customFormat="1" ht="27" customHeight="1" x14ac:dyDescent="0.25">
      <c r="A379" s="129" t="s">
        <v>659</v>
      </c>
      <c r="B379" s="129"/>
      <c r="C379" s="54">
        <v>852</v>
      </c>
      <c r="D379" s="88" t="s">
        <v>46</v>
      </c>
      <c r="E379" s="88" t="s">
        <v>23</v>
      </c>
      <c r="F379" s="88" t="s">
        <v>660</v>
      </c>
      <c r="G379" s="88"/>
      <c r="H379" s="85">
        <f>H380</f>
        <v>235</v>
      </c>
      <c r="I379" s="85">
        <f>I380</f>
        <v>0</v>
      </c>
      <c r="J379" s="85">
        <f>J380</f>
        <v>235</v>
      </c>
    </row>
    <row r="380" spans="1:10" s="1" customFormat="1" ht="15.75" customHeight="1" x14ac:dyDescent="0.25">
      <c r="A380" s="55"/>
      <c r="B380" s="84" t="s">
        <v>40</v>
      </c>
      <c r="C380" s="54">
        <v>852</v>
      </c>
      <c r="D380" s="3" t="s">
        <v>46</v>
      </c>
      <c r="E380" s="3" t="s">
        <v>23</v>
      </c>
      <c r="F380" s="3" t="s">
        <v>660</v>
      </c>
      <c r="G380" s="3" t="s">
        <v>41</v>
      </c>
      <c r="H380" s="85">
        <v>235</v>
      </c>
      <c r="I380" s="85"/>
      <c r="J380" s="85">
        <f>H380+I380</f>
        <v>235</v>
      </c>
    </row>
    <row r="381" spans="1:10" s="1" customFormat="1" ht="16.5" customHeight="1" x14ac:dyDescent="0.25">
      <c r="A381" s="129" t="s">
        <v>661</v>
      </c>
      <c r="B381" s="129"/>
      <c r="C381" s="54">
        <v>852</v>
      </c>
      <c r="D381" s="3" t="s">
        <v>46</v>
      </c>
      <c r="E381" s="3" t="s">
        <v>23</v>
      </c>
      <c r="F381" s="3" t="s">
        <v>662</v>
      </c>
      <c r="G381" s="3"/>
      <c r="H381" s="85">
        <f>H382</f>
        <v>235</v>
      </c>
      <c r="I381" s="85">
        <f>I382</f>
        <v>0</v>
      </c>
      <c r="J381" s="85">
        <f>J382</f>
        <v>235</v>
      </c>
    </row>
    <row r="382" spans="1:10" s="1" customFormat="1" ht="15" customHeight="1" x14ac:dyDescent="0.25">
      <c r="A382" s="55"/>
      <c r="B382" s="84" t="s">
        <v>40</v>
      </c>
      <c r="C382" s="54">
        <v>852</v>
      </c>
      <c r="D382" s="3" t="s">
        <v>46</v>
      </c>
      <c r="E382" s="3" t="s">
        <v>23</v>
      </c>
      <c r="F382" s="3" t="s">
        <v>662</v>
      </c>
      <c r="G382" s="3" t="s">
        <v>41</v>
      </c>
      <c r="H382" s="85">
        <v>235</v>
      </c>
      <c r="I382" s="85"/>
      <c r="J382" s="85">
        <f>H382+I382</f>
        <v>235</v>
      </c>
    </row>
    <row r="383" spans="1:10" ht="19.5" customHeight="1" x14ac:dyDescent="0.25">
      <c r="A383" s="132" t="s">
        <v>694</v>
      </c>
      <c r="B383" s="132"/>
      <c r="C383" s="106">
        <v>853</v>
      </c>
      <c r="D383" s="107"/>
      <c r="E383" s="107"/>
      <c r="F383" s="107"/>
      <c r="G383" s="107"/>
      <c r="H383" s="80">
        <f>H384+H392+H399+H409</f>
        <v>27548.2</v>
      </c>
      <c r="I383" s="80">
        <f>I384+I392+I399+I409</f>
        <v>4.5</v>
      </c>
      <c r="J383" s="80">
        <f>J384+J392+J399+J409</f>
        <v>27402.702000000001</v>
      </c>
    </row>
    <row r="384" spans="1:10" s="6" customFormat="1" ht="15.75" customHeight="1" x14ac:dyDescent="0.25">
      <c r="A384" s="128" t="s">
        <v>5</v>
      </c>
      <c r="B384" s="128"/>
      <c r="C384" s="50">
        <v>853</v>
      </c>
      <c r="D384" s="81" t="s">
        <v>6</v>
      </c>
      <c r="E384" s="81"/>
      <c r="F384" s="81"/>
      <c r="G384" s="81"/>
      <c r="H384" s="86">
        <f>H385</f>
        <v>3005.3</v>
      </c>
      <c r="I384" s="86">
        <f t="shared" ref="I384:J386" si="34">I385</f>
        <v>0</v>
      </c>
      <c r="J384" s="86">
        <f t="shared" si="34"/>
        <v>2853.1240000000003</v>
      </c>
    </row>
    <row r="385" spans="1:10" s="6" customFormat="1" ht="27.75" customHeight="1" x14ac:dyDescent="0.25">
      <c r="A385" s="128" t="s">
        <v>22</v>
      </c>
      <c r="B385" s="128"/>
      <c r="C385" s="50">
        <v>853</v>
      </c>
      <c r="D385" s="81" t="s">
        <v>6</v>
      </c>
      <c r="E385" s="81" t="s">
        <v>23</v>
      </c>
      <c r="F385" s="81"/>
      <c r="G385" s="81"/>
      <c r="H385" s="86">
        <f>H386</f>
        <v>3005.3</v>
      </c>
      <c r="I385" s="86">
        <f t="shared" si="34"/>
        <v>0</v>
      </c>
      <c r="J385" s="86">
        <f t="shared" si="34"/>
        <v>2853.1240000000003</v>
      </c>
    </row>
    <row r="386" spans="1:10" s="1" customFormat="1" ht="39.75" customHeight="1" x14ac:dyDescent="0.25">
      <c r="A386" s="129" t="s">
        <v>9</v>
      </c>
      <c r="B386" s="129"/>
      <c r="C386" s="54">
        <v>853</v>
      </c>
      <c r="D386" s="3" t="s">
        <v>6</v>
      </c>
      <c r="E386" s="3" t="s">
        <v>23</v>
      </c>
      <c r="F386" s="3" t="s">
        <v>19</v>
      </c>
      <c r="G386" s="3"/>
      <c r="H386" s="85">
        <f>H387</f>
        <v>3005.3</v>
      </c>
      <c r="I386" s="85">
        <f t="shared" si="34"/>
        <v>0</v>
      </c>
      <c r="J386" s="85">
        <f t="shared" si="34"/>
        <v>2853.1240000000003</v>
      </c>
    </row>
    <row r="387" spans="1:10" s="1" customFormat="1" ht="14.25" customHeight="1" x14ac:dyDescent="0.25">
      <c r="A387" s="129" t="s">
        <v>11</v>
      </c>
      <c r="B387" s="129"/>
      <c r="C387" s="54">
        <v>853</v>
      </c>
      <c r="D387" s="3" t="s">
        <v>6</v>
      </c>
      <c r="E387" s="3" t="s">
        <v>23</v>
      </c>
      <c r="F387" s="3" t="s">
        <v>12</v>
      </c>
      <c r="G387" s="3"/>
      <c r="H387" s="85">
        <f>H388+H390</f>
        <v>3005.3</v>
      </c>
      <c r="I387" s="85">
        <f>I388+I390</f>
        <v>0</v>
      </c>
      <c r="J387" s="85">
        <f>J388+J390</f>
        <v>2853.1240000000003</v>
      </c>
    </row>
    <row r="388" spans="1:10" s="1" customFormat="1" ht="16.5" customHeight="1" x14ac:dyDescent="0.25">
      <c r="A388" s="129" t="s">
        <v>24</v>
      </c>
      <c r="B388" s="129"/>
      <c r="C388" s="54">
        <v>853</v>
      </c>
      <c r="D388" s="3" t="s">
        <v>6</v>
      </c>
      <c r="E388" s="3" t="s">
        <v>23</v>
      </c>
      <c r="F388" s="3" t="s">
        <v>25</v>
      </c>
      <c r="G388" s="3"/>
      <c r="H388" s="85">
        <f>H389</f>
        <v>3001.5</v>
      </c>
      <c r="I388" s="85">
        <f>I389</f>
        <v>0</v>
      </c>
      <c r="J388" s="85">
        <f>J389</f>
        <v>2849.3240000000001</v>
      </c>
    </row>
    <row r="389" spans="1:10" s="1" customFormat="1" ht="12.75" x14ac:dyDescent="0.25">
      <c r="A389" s="55"/>
      <c r="B389" s="84" t="s">
        <v>40</v>
      </c>
      <c r="C389" s="54">
        <v>853</v>
      </c>
      <c r="D389" s="3" t="s">
        <v>6</v>
      </c>
      <c r="E389" s="3" t="s">
        <v>23</v>
      </c>
      <c r="F389" s="3" t="s">
        <v>25</v>
      </c>
      <c r="G389" s="3" t="s">
        <v>41</v>
      </c>
      <c r="H389" s="85">
        <v>3001.5</v>
      </c>
      <c r="I389" s="85"/>
      <c r="J389" s="85">
        <v>2849.3240000000001</v>
      </c>
    </row>
    <row r="390" spans="1:10" s="1" customFormat="1" ht="15" customHeight="1" x14ac:dyDescent="0.25">
      <c r="A390" s="129" t="s">
        <v>695</v>
      </c>
      <c r="B390" s="129"/>
      <c r="C390" s="54">
        <v>853</v>
      </c>
      <c r="D390" s="3" t="s">
        <v>6</v>
      </c>
      <c r="E390" s="3" t="s">
        <v>23</v>
      </c>
      <c r="F390" s="3" t="s">
        <v>532</v>
      </c>
      <c r="G390" s="3"/>
      <c r="H390" s="85">
        <f>H391</f>
        <v>3.8</v>
      </c>
      <c r="I390" s="85">
        <f>I391</f>
        <v>0</v>
      </c>
      <c r="J390" s="85">
        <f>J391</f>
        <v>3.8</v>
      </c>
    </row>
    <row r="391" spans="1:10" s="1" customFormat="1" ht="12.75" x14ac:dyDescent="0.25">
      <c r="A391" s="55"/>
      <c r="B391" s="84" t="s">
        <v>40</v>
      </c>
      <c r="C391" s="54">
        <v>853</v>
      </c>
      <c r="D391" s="3" t="s">
        <v>6</v>
      </c>
      <c r="E391" s="3" t="s">
        <v>23</v>
      </c>
      <c r="F391" s="3" t="s">
        <v>532</v>
      </c>
      <c r="G391" s="3" t="s">
        <v>41</v>
      </c>
      <c r="H391" s="85">
        <v>3.8</v>
      </c>
      <c r="I391" s="85"/>
      <c r="J391" s="85">
        <f>H391+I391</f>
        <v>3.8</v>
      </c>
    </row>
    <row r="392" spans="1:10" s="6" customFormat="1" ht="15.75" customHeight="1" x14ac:dyDescent="0.25">
      <c r="A392" s="128" t="s">
        <v>50</v>
      </c>
      <c r="B392" s="128"/>
      <c r="C392" s="50">
        <v>853</v>
      </c>
      <c r="D392" s="81" t="s">
        <v>51</v>
      </c>
      <c r="E392" s="81"/>
      <c r="F392" s="81"/>
      <c r="G392" s="81"/>
      <c r="H392" s="86">
        <f>H393</f>
        <v>297.89999999999998</v>
      </c>
      <c r="I392" s="86">
        <f t="shared" ref="I392:J395" si="35">I393</f>
        <v>4.5</v>
      </c>
      <c r="J392" s="86">
        <f t="shared" si="35"/>
        <v>302.39999999999998</v>
      </c>
    </row>
    <row r="393" spans="1:10" s="9" customFormat="1" ht="15.75" customHeight="1" x14ac:dyDescent="0.25">
      <c r="A393" s="134" t="s">
        <v>52</v>
      </c>
      <c r="B393" s="134"/>
      <c r="C393" s="54">
        <v>853</v>
      </c>
      <c r="D393" s="3" t="s">
        <v>51</v>
      </c>
      <c r="E393" s="3" t="s">
        <v>8</v>
      </c>
      <c r="F393" s="3"/>
      <c r="G393" s="3"/>
      <c r="H393" s="85">
        <f>H394</f>
        <v>297.89999999999998</v>
      </c>
      <c r="I393" s="85">
        <f t="shared" si="35"/>
        <v>4.5</v>
      </c>
      <c r="J393" s="85">
        <f t="shared" si="35"/>
        <v>302.39999999999998</v>
      </c>
    </row>
    <row r="394" spans="1:10" s="9" customFormat="1" ht="15.75" customHeight="1" x14ac:dyDescent="0.25">
      <c r="A394" s="129" t="s">
        <v>53</v>
      </c>
      <c r="B394" s="129"/>
      <c r="C394" s="54">
        <v>853</v>
      </c>
      <c r="D394" s="3" t="s">
        <v>51</v>
      </c>
      <c r="E394" s="3" t="s">
        <v>8</v>
      </c>
      <c r="F394" s="3" t="s">
        <v>54</v>
      </c>
      <c r="G394" s="3"/>
      <c r="H394" s="85">
        <f>H395</f>
        <v>297.89999999999998</v>
      </c>
      <c r="I394" s="85">
        <f t="shared" si="35"/>
        <v>4.5</v>
      </c>
      <c r="J394" s="85">
        <f t="shared" si="35"/>
        <v>302.39999999999998</v>
      </c>
    </row>
    <row r="395" spans="1:10" s="1" customFormat="1" ht="28.5" customHeight="1" x14ac:dyDescent="0.25">
      <c r="A395" s="129" t="s">
        <v>55</v>
      </c>
      <c r="B395" s="129"/>
      <c r="C395" s="54">
        <v>853</v>
      </c>
      <c r="D395" s="3" t="s">
        <v>51</v>
      </c>
      <c r="E395" s="3" t="s">
        <v>8</v>
      </c>
      <c r="F395" s="3" t="s">
        <v>56</v>
      </c>
      <c r="G395" s="3"/>
      <c r="H395" s="85">
        <f>H396</f>
        <v>297.89999999999998</v>
      </c>
      <c r="I395" s="85">
        <f t="shared" si="35"/>
        <v>4.5</v>
      </c>
      <c r="J395" s="85">
        <f t="shared" si="35"/>
        <v>302.39999999999998</v>
      </c>
    </row>
    <row r="396" spans="1:10" s="1" customFormat="1" ht="42" customHeight="1" x14ac:dyDescent="0.25">
      <c r="A396" s="134" t="s">
        <v>548</v>
      </c>
      <c r="B396" s="134"/>
      <c r="C396" s="54">
        <v>853</v>
      </c>
      <c r="D396" s="3" t="s">
        <v>51</v>
      </c>
      <c r="E396" s="3" t="s">
        <v>8</v>
      </c>
      <c r="F396" s="3" t="s">
        <v>57</v>
      </c>
      <c r="G396" s="3"/>
      <c r="H396" s="85">
        <f>H398+H397</f>
        <v>297.89999999999998</v>
      </c>
      <c r="I396" s="85">
        <f>I398+I397</f>
        <v>4.5</v>
      </c>
      <c r="J396" s="85">
        <f>J398+J397</f>
        <v>302.39999999999998</v>
      </c>
    </row>
    <row r="397" spans="1:10" s="1" customFormat="1" ht="14.25" customHeight="1" x14ac:dyDescent="0.25">
      <c r="A397" s="59"/>
      <c r="B397" s="59" t="s">
        <v>549</v>
      </c>
      <c r="C397" s="54">
        <v>853</v>
      </c>
      <c r="D397" s="3" t="s">
        <v>51</v>
      </c>
      <c r="E397" s="3" t="s">
        <v>8</v>
      </c>
      <c r="F397" s="3" t="s">
        <v>57</v>
      </c>
      <c r="G397" s="3" t="s">
        <v>550</v>
      </c>
      <c r="H397" s="85">
        <v>297.89999999999998</v>
      </c>
      <c r="I397" s="85">
        <v>4.5</v>
      </c>
      <c r="J397" s="85">
        <f>H397+I397</f>
        <v>302.39999999999998</v>
      </c>
    </row>
    <row r="398" spans="1:10" s="1" customFormat="1" ht="12.75" hidden="1" x14ac:dyDescent="0.25">
      <c r="A398" s="59"/>
      <c r="B398" s="84" t="s">
        <v>40</v>
      </c>
      <c r="C398" s="54">
        <v>853</v>
      </c>
      <c r="D398" s="3" t="s">
        <v>51</v>
      </c>
      <c r="E398" s="3" t="s">
        <v>8</v>
      </c>
      <c r="F398" s="3" t="s">
        <v>58</v>
      </c>
      <c r="G398" s="3" t="s">
        <v>41</v>
      </c>
      <c r="H398" s="85">
        <v>0</v>
      </c>
      <c r="I398" s="85"/>
      <c r="J398" s="85">
        <f>H398+I398</f>
        <v>0</v>
      </c>
    </row>
    <row r="399" spans="1:10" s="6" customFormat="1" ht="18" customHeight="1" x14ac:dyDescent="0.25">
      <c r="A399" s="128" t="s">
        <v>689</v>
      </c>
      <c r="B399" s="128"/>
      <c r="C399" s="50">
        <v>853</v>
      </c>
      <c r="D399" s="81" t="s">
        <v>202</v>
      </c>
      <c r="E399" s="81"/>
      <c r="F399" s="81"/>
      <c r="G399" s="81"/>
      <c r="H399" s="86">
        <f>H400</f>
        <v>156</v>
      </c>
      <c r="I399" s="86">
        <f t="shared" ref="I399:J402" si="36">I400</f>
        <v>0</v>
      </c>
      <c r="J399" s="86">
        <f t="shared" si="36"/>
        <v>158.178</v>
      </c>
    </row>
    <row r="400" spans="1:10" s="6" customFormat="1" ht="16.5" customHeight="1" x14ac:dyDescent="0.25">
      <c r="A400" s="128" t="s">
        <v>220</v>
      </c>
      <c r="B400" s="128"/>
      <c r="C400" s="50">
        <v>853</v>
      </c>
      <c r="D400" s="81" t="s">
        <v>202</v>
      </c>
      <c r="E400" s="81" t="s">
        <v>18</v>
      </c>
      <c r="F400" s="81"/>
      <c r="G400" s="81"/>
      <c r="H400" s="86">
        <f>H401</f>
        <v>156</v>
      </c>
      <c r="I400" s="86">
        <f t="shared" si="36"/>
        <v>0</v>
      </c>
      <c r="J400" s="86">
        <f>J401+J406</f>
        <v>158.178</v>
      </c>
    </row>
    <row r="401" spans="1:15" s="2" customFormat="1" ht="16.5" customHeight="1" x14ac:dyDescent="0.25">
      <c r="A401" s="129" t="s">
        <v>275</v>
      </c>
      <c r="B401" s="129"/>
      <c r="C401" s="54">
        <v>853</v>
      </c>
      <c r="D401" s="88" t="s">
        <v>202</v>
      </c>
      <c r="E401" s="88" t="s">
        <v>18</v>
      </c>
      <c r="F401" s="88" t="s">
        <v>540</v>
      </c>
      <c r="G401" s="88"/>
      <c r="H401" s="85">
        <f>H402</f>
        <v>156</v>
      </c>
      <c r="I401" s="85">
        <f t="shared" si="36"/>
        <v>0</v>
      </c>
      <c r="J401" s="85">
        <f t="shared" si="36"/>
        <v>156</v>
      </c>
    </row>
    <row r="402" spans="1:15" s="1" customFormat="1" ht="52.5" customHeight="1" x14ac:dyDescent="0.25">
      <c r="A402" s="129" t="s">
        <v>541</v>
      </c>
      <c r="B402" s="129"/>
      <c r="C402" s="54">
        <v>853</v>
      </c>
      <c r="D402" s="3" t="s">
        <v>202</v>
      </c>
      <c r="E402" s="3" t="s">
        <v>18</v>
      </c>
      <c r="F402" s="3" t="s">
        <v>542</v>
      </c>
      <c r="G402" s="3"/>
      <c r="H402" s="85">
        <f>H403</f>
        <v>156</v>
      </c>
      <c r="I402" s="85">
        <f t="shared" si="36"/>
        <v>0</v>
      </c>
      <c r="J402" s="85">
        <f t="shared" si="36"/>
        <v>156</v>
      </c>
    </row>
    <row r="403" spans="1:15" s="1" customFormat="1" ht="54.75" customHeight="1" x14ac:dyDescent="0.25">
      <c r="A403" s="129" t="s">
        <v>649</v>
      </c>
      <c r="B403" s="129"/>
      <c r="C403" s="54">
        <v>853</v>
      </c>
      <c r="D403" s="3" t="s">
        <v>202</v>
      </c>
      <c r="E403" s="3" t="s">
        <v>18</v>
      </c>
      <c r="F403" s="3" t="s">
        <v>650</v>
      </c>
      <c r="G403" s="3"/>
      <c r="H403" s="85">
        <f>H404+H405</f>
        <v>156</v>
      </c>
      <c r="I403" s="85">
        <f>I404+I405</f>
        <v>0</v>
      </c>
      <c r="J403" s="85">
        <f>J404+J405</f>
        <v>156</v>
      </c>
    </row>
    <row r="404" spans="1:15" s="1" customFormat="1" ht="15.75" customHeight="1" x14ac:dyDescent="0.25">
      <c r="A404" s="84"/>
      <c r="B404" s="84" t="s">
        <v>549</v>
      </c>
      <c r="C404" s="54">
        <v>853</v>
      </c>
      <c r="D404" s="3" t="s">
        <v>202</v>
      </c>
      <c r="E404" s="3" t="s">
        <v>18</v>
      </c>
      <c r="F404" s="3" t="s">
        <v>650</v>
      </c>
      <c r="G404" s="3" t="s">
        <v>550</v>
      </c>
      <c r="H404" s="85">
        <v>156</v>
      </c>
      <c r="I404" s="85"/>
      <c r="J404" s="85">
        <f>H404+I404</f>
        <v>156</v>
      </c>
    </row>
    <row r="405" spans="1:15" s="1" customFormat="1" ht="15" customHeight="1" x14ac:dyDescent="0.25">
      <c r="A405" s="55"/>
      <c r="B405" s="84" t="s">
        <v>40</v>
      </c>
      <c r="C405" s="54">
        <v>853</v>
      </c>
      <c r="D405" s="3" t="s">
        <v>202</v>
      </c>
      <c r="E405" s="3" t="s">
        <v>18</v>
      </c>
      <c r="F405" s="3" t="s">
        <v>650</v>
      </c>
      <c r="G405" s="3" t="s">
        <v>41</v>
      </c>
      <c r="H405" s="85">
        <v>0</v>
      </c>
      <c r="I405" s="85"/>
      <c r="J405" s="85">
        <f>H405+I405</f>
        <v>0</v>
      </c>
    </row>
    <row r="406" spans="1:15" s="1" customFormat="1" ht="15.75" customHeight="1" x14ac:dyDescent="0.25">
      <c r="A406" s="129" t="s">
        <v>243</v>
      </c>
      <c r="B406" s="129"/>
      <c r="C406" s="54">
        <v>853</v>
      </c>
      <c r="D406" s="3" t="s">
        <v>202</v>
      </c>
      <c r="E406" s="3" t="s">
        <v>18</v>
      </c>
      <c r="F406" s="3" t="s">
        <v>244</v>
      </c>
      <c r="G406" s="3"/>
      <c r="H406" s="85" t="e">
        <f>#REF!</f>
        <v>#REF!</v>
      </c>
      <c r="I406" s="85" t="e">
        <f>#REF!</f>
        <v>#REF!</v>
      </c>
      <c r="J406" s="85">
        <f>J407</f>
        <v>2.1779999999999999</v>
      </c>
      <c r="O406" s="1">
        <f t="shared" ref="O406:O408" si="37">N406*5.07/100</f>
        <v>0</v>
      </c>
    </row>
    <row r="407" spans="1:15" s="1" customFormat="1" ht="15.75" customHeight="1" x14ac:dyDescent="0.25">
      <c r="A407" s="149" t="s">
        <v>681</v>
      </c>
      <c r="B407" s="150"/>
      <c r="C407" s="54">
        <v>853</v>
      </c>
      <c r="D407" s="3" t="s">
        <v>202</v>
      </c>
      <c r="E407" s="3" t="s">
        <v>18</v>
      </c>
      <c r="F407" s="3" t="s">
        <v>682</v>
      </c>
      <c r="G407" s="3"/>
      <c r="H407" s="85"/>
      <c r="I407" s="85"/>
      <c r="J407" s="85">
        <f>J408</f>
        <v>2.1779999999999999</v>
      </c>
      <c r="O407" s="1">
        <f t="shared" si="37"/>
        <v>0</v>
      </c>
    </row>
    <row r="408" spans="1:15" s="1" customFormat="1" ht="15.75" customHeight="1" x14ac:dyDescent="0.25">
      <c r="A408" s="84"/>
      <c r="B408" s="84" t="s">
        <v>685</v>
      </c>
      <c r="C408" s="54">
        <v>853</v>
      </c>
      <c r="D408" s="3" t="s">
        <v>202</v>
      </c>
      <c r="E408" s="3" t="s">
        <v>684</v>
      </c>
      <c r="F408" s="3" t="s">
        <v>682</v>
      </c>
      <c r="G408" s="3" t="s">
        <v>683</v>
      </c>
      <c r="H408" s="85"/>
      <c r="I408" s="85"/>
      <c r="J408" s="85">
        <v>2.1779999999999999</v>
      </c>
      <c r="O408" s="1">
        <f t="shared" si="37"/>
        <v>0</v>
      </c>
    </row>
    <row r="409" spans="1:15" s="6" customFormat="1" ht="29.25" customHeight="1" x14ac:dyDescent="0.25">
      <c r="A409" s="132" t="s">
        <v>666</v>
      </c>
      <c r="B409" s="132"/>
      <c r="C409" s="50">
        <v>853</v>
      </c>
      <c r="D409" s="81" t="s">
        <v>276</v>
      </c>
      <c r="E409" s="81"/>
      <c r="F409" s="81"/>
      <c r="G409" s="81"/>
      <c r="H409" s="86">
        <f>H410+H419</f>
        <v>24089</v>
      </c>
      <c r="I409" s="86">
        <f>I410+I419</f>
        <v>0</v>
      </c>
      <c r="J409" s="86">
        <f>J410+J419</f>
        <v>24089</v>
      </c>
    </row>
    <row r="410" spans="1:15" s="6" customFormat="1" ht="28.5" customHeight="1" x14ac:dyDescent="0.25">
      <c r="A410" s="128" t="s">
        <v>277</v>
      </c>
      <c r="B410" s="128"/>
      <c r="C410" s="50">
        <v>853</v>
      </c>
      <c r="D410" s="95" t="s">
        <v>276</v>
      </c>
      <c r="E410" s="95" t="s">
        <v>6</v>
      </c>
      <c r="F410" s="96"/>
      <c r="G410" s="95"/>
      <c r="H410" s="86">
        <f>H415+H411</f>
        <v>4654</v>
      </c>
      <c r="I410" s="86">
        <f>I415+I411</f>
        <v>0</v>
      </c>
      <c r="J410" s="86">
        <f>J415+J411</f>
        <v>4654</v>
      </c>
    </row>
    <row r="411" spans="1:15" s="1" customFormat="1" ht="18.75" customHeight="1" x14ac:dyDescent="0.25">
      <c r="A411" s="129" t="s">
        <v>275</v>
      </c>
      <c r="B411" s="129"/>
      <c r="C411" s="54">
        <v>853</v>
      </c>
      <c r="D411" s="3" t="s">
        <v>276</v>
      </c>
      <c r="E411" s="3" t="s">
        <v>6</v>
      </c>
      <c r="F411" s="3" t="s">
        <v>540</v>
      </c>
      <c r="G411" s="3"/>
      <c r="H411" s="85">
        <f>H412</f>
        <v>4654</v>
      </c>
      <c r="I411" s="85">
        <f t="shared" ref="I411:J413" si="38">I412</f>
        <v>0</v>
      </c>
      <c r="J411" s="85">
        <f t="shared" si="38"/>
        <v>4654</v>
      </c>
    </row>
    <row r="412" spans="1:15" s="1" customFormat="1" ht="54.75" customHeight="1" x14ac:dyDescent="0.25">
      <c r="A412" s="129" t="s">
        <v>541</v>
      </c>
      <c r="B412" s="129"/>
      <c r="C412" s="54">
        <v>853</v>
      </c>
      <c r="D412" s="3" t="s">
        <v>276</v>
      </c>
      <c r="E412" s="3" t="s">
        <v>6</v>
      </c>
      <c r="F412" s="3" t="s">
        <v>542</v>
      </c>
      <c r="G412" s="3"/>
      <c r="H412" s="85">
        <f>H413</f>
        <v>4654</v>
      </c>
      <c r="I412" s="85">
        <f t="shared" si="38"/>
        <v>0</v>
      </c>
      <c r="J412" s="85">
        <f t="shared" si="38"/>
        <v>4654</v>
      </c>
    </row>
    <row r="413" spans="1:15" s="1" customFormat="1" ht="28.5" customHeight="1" x14ac:dyDescent="0.25">
      <c r="A413" s="134" t="s">
        <v>667</v>
      </c>
      <c r="B413" s="134"/>
      <c r="C413" s="54">
        <v>853</v>
      </c>
      <c r="D413" s="3" t="s">
        <v>276</v>
      </c>
      <c r="E413" s="3" t="s">
        <v>6</v>
      </c>
      <c r="F413" s="3" t="s">
        <v>668</v>
      </c>
      <c r="G413" s="3"/>
      <c r="H413" s="85">
        <f>H414</f>
        <v>4654</v>
      </c>
      <c r="I413" s="85">
        <f t="shared" si="38"/>
        <v>0</v>
      </c>
      <c r="J413" s="85">
        <f t="shared" si="38"/>
        <v>4654</v>
      </c>
    </row>
    <row r="414" spans="1:15" s="1" customFormat="1" ht="18" customHeight="1" x14ac:dyDescent="0.25">
      <c r="A414" s="55"/>
      <c r="B414" s="59" t="s">
        <v>279</v>
      </c>
      <c r="C414" s="54">
        <v>853</v>
      </c>
      <c r="D414" s="3" t="s">
        <v>276</v>
      </c>
      <c r="E414" s="3" t="s">
        <v>6</v>
      </c>
      <c r="F414" s="3" t="s">
        <v>668</v>
      </c>
      <c r="G414" s="3" t="s">
        <v>280</v>
      </c>
      <c r="H414" s="85">
        <v>4654</v>
      </c>
      <c r="I414" s="85"/>
      <c r="J414" s="85">
        <f>H414+I414</f>
        <v>4654</v>
      </c>
    </row>
    <row r="415" spans="1:15" s="1" customFormat="1" ht="29.25" hidden="1" customHeight="1" x14ac:dyDescent="0.25">
      <c r="A415" s="129" t="s">
        <v>643</v>
      </c>
      <c r="B415" s="129"/>
      <c r="C415" s="54">
        <v>853</v>
      </c>
      <c r="D415" s="3" t="s">
        <v>276</v>
      </c>
      <c r="E415" s="3" t="s">
        <v>6</v>
      </c>
      <c r="F415" s="3" t="s">
        <v>42</v>
      </c>
      <c r="G415" s="3"/>
      <c r="H415" s="85">
        <f>H416</f>
        <v>0</v>
      </c>
      <c r="I415" s="85">
        <f t="shared" ref="I415:J417" si="39">I416</f>
        <v>0</v>
      </c>
      <c r="J415" s="85">
        <f t="shared" si="39"/>
        <v>0</v>
      </c>
    </row>
    <row r="416" spans="1:15" s="1" customFormat="1" ht="28.5" hidden="1" customHeight="1" x14ac:dyDescent="0.25">
      <c r="A416" s="129" t="s">
        <v>43</v>
      </c>
      <c r="B416" s="129"/>
      <c r="C416" s="54">
        <v>853</v>
      </c>
      <c r="D416" s="3" t="s">
        <v>276</v>
      </c>
      <c r="E416" s="3" t="s">
        <v>6</v>
      </c>
      <c r="F416" s="3" t="s">
        <v>44</v>
      </c>
      <c r="G416" s="3"/>
      <c r="H416" s="85">
        <f>H417</f>
        <v>0</v>
      </c>
      <c r="I416" s="85">
        <f t="shared" si="39"/>
        <v>0</v>
      </c>
      <c r="J416" s="85">
        <f t="shared" si="39"/>
        <v>0</v>
      </c>
    </row>
    <row r="417" spans="1:10" s="1" customFormat="1" ht="27.75" hidden="1" customHeight="1" x14ac:dyDescent="0.25">
      <c r="A417" s="134" t="s">
        <v>667</v>
      </c>
      <c r="B417" s="134"/>
      <c r="C417" s="54">
        <v>853</v>
      </c>
      <c r="D417" s="3" t="s">
        <v>276</v>
      </c>
      <c r="E417" s="3" t="s">
        <v>6</v>
      </c>
      <c r="F417" s="3" t="s">
        <v>278</v>
      </c>
      <c r="G417" s="3"/>
      <c r="H417" s="85">
        <f>H418</f>
        <v>0</v>
      </c>
      <c r="I417" s="85">
        <f t="shared" si="39"/>
        <v>0</v>
      </c>
      <c r="J417" s="85">
        <f t="shared" si="39"/>
        <v>0</v>
      </c>
    </row>
    <row r="418" spans="1:10" s="1" customFormat="1" ht="17.25" hidden="1" customHeight="1" x14ac:dyDescent="0.25">
      <c r="A418" s="55"/>
      <c r="B418" s="59" t="s">
        <v>279</v>
      </c>
      <c r="C418" s="54">
        <v>853</v>
      </c>
      <c r="D418" s="3" t="s">
        <v>276</v>
      </c>
      <c r="E418" s="3" t="s">
        <v>6</v>
      </c>
      <c r="F418" s="3" t="s">
        <v>278</v>
      </c>
      <c r="G418" s="3" t="s">
        <v>280</v>
      </c>
      <c r="H418" s="85">
        <v>0</v>
      </c>
      <c r="I418" s="85"/>
      <c r="J418" s="85">
        <f>H418+I418</f>
        <v>0</v>
      </c>
    </row>
    <row r="419" spans="1:10" s="6" customFormat="1" ht="17.25" customHeight="1" x14ac:dyDescent="0.25">
      <c r="A419" s="143" t="s">
        <v>281</v>
      </c>
      <c r="B419" s="143"/>
      <c r="C419" s="50">
        <v>853</v>
      </c>
      <c r="D419" s="81" t="s">
        <v>276</v>
      </c>
      <c r="E419" s="81" t="s">
        <v>51</v>
      </c>
      <c r="F419" s="81"/>
      <c r="G419" s="81"/>
      <c r="H419" s="86">
        <f>H420</f>
        <v>19435</v>
      </c>
      <c r="I419" s="86">
        <f t="shared" ref="I419:J422" si="40">I420</f>
        <v>0</v>
      </c>
      <c r="J419" s="86">
        <f t="shared" si="40"/>
        <v>19435</v>
      </c>
    </row>
    <row r="420" spans="1:10" s="1" customFormat="1" ht="14.25" customHeight="1" x14ac:dyDescent="0.25">
      <c r="A420" s="129" t="s">
        <v>275</v>
      </c>
      <c r="B420" s="129"/>
      <c r="C420" s="54">
        <v>853</v>
      </c>
      <c r="D420" s="3" t="s">
        <v>276</v>
      </c>
      <c r="E420" s="3" t="s">
        <v>51</v>
      </c>
      <c r="F420" s="3" t="s">
        <v>540</v>
      </c>
      <c r="G420" s="3"/>
      <c r="H420" s="85">
        <f>H421</f>
        <v>19435</v>
      </c>
      <c r="I420" s="85">
        <f t="shared" si="40"/>
        <v>0</v>
      </c>
      <c r="J420" s="85">
        <f t="shared" si="40"/>
        <v>19435</v>
      </c>
    </row>
    <row r="421" spans="1:10" s="1" customFormat="1" ht="54.75" customHeight="1" x14ac:dyDescent="0.25">
      <c r="A421" s="129" t="s">
        <v>541</v>
      </c>
      <c r="B421" s="129"/>
      <c r="C421" s="54">
        <v>853</v>
      </c>
      <c r="D421" s="3" t="s">
        <v>276</v>
      </c>
      <c r="E421" s="3" t="s">
        <v>51</v>
      </c>
      <c r="F421" s="3" t="s">
        <v>542</v>
      </c>
      <c r="G421" s="3"/>
      <c r="H421" s="85">
        <f>H422</f>
        <v>19435</v>
      </c>
      <c r="I421" s="85">
        <f t="shared" si="40"/>
        <v>0</v>
      </c>
      <c r="J421" s="85">
        <f t="shared" si="40"/>
        <v>19435</v>
      </c>
    </row>
    <row r="422" spans="1:10" s="1" customFormat="1" ht="17.25" customHeight="1" x14ac:dyDescent="0.25">
      <c r="A422" s="134" t="s">
        <v>669</v>
      </c>
      <c r="B422" s="134"/>
      <c r="C422" s="54">
        <v>853</v>
      </c>
      <c r="D422" s="3" t="s">
        <v>276</v>
      </c>
      <c r="E422" s="3" t="s">
        <v>51</v>
      </c>
      <c r="F422" s="3" t="s">
        <v>670</v>
      </c>
      <c r="G422" s="3"/>
      <c r="H422" s="85">
        <f>H423</f>
        <v>19435</v>
      </c>
      <c r="I422" s="85">
        <f t="shared" si="40"/>
        <v>0</v>
      </c>
      <c r="J422" s="85">
        <f t="shared" si="40"/>
        <v>19435</v>
      </c>
    </row>
    <row r="423" spans="1:10" s="1" customFormat="1" ht="18" customHeight="1" x14ac:dyDescent="0.25">
      <c r="A423" s="55"/>
      <c r="B423" s="59" t="s">
        <v>279</v>
      </c>
      <c r="C423" s="54">
        <v>853</v>
      </c>
      <c r="D423" s="3" t="s">
        <v>276</v>
      </c>
      <c r="E423" s="3" t="s">
        <v>51</v>
      </c>
      <c r="F423" s="3" t="s">
        <v>670</v>
      </c>
      <c r="G423" s="3" t="s">
        <v>280</v>
      </c>
      <c r="H423" s="85">
        <v>19435</v>
      </c>
      <c r="I423" s="85"/>
      <c r="J423" s="85">
        <f>H423+I423</f>
        <v>19435</v>
      </c>
    </row>
    <row r="424" spans="1:10" s="113" customFormat="1" ht="15.75" customHeight="1" x14ac:dyDescent="0.2">
      <c r="A424" s="147" t="s">
        <v>696</v>
      </c>
      <c r="B424" s="147"/>
      <c r="C424" s="50"/>
      <c r="D424" s="111"/>
      <c r="E424" s="111"/>
      <c r="F424" s="111"/>
      <c r="G424" s="111"/>
      <c r="H424" s="112">
        <f>H4+H187+H383</f>
        <v>158634.74800000002</v>
      </c>
      <c r="I424" s="112">
        <f>I4+I187+I383</f>
        <v>5750.424</v>
      </c>
      <c r="J424" s="112">
        <f>J4+J187+J383</f>
        <v>162335.976</v>
      </c>
    </row>
    <row r="425" spans="1:10" x14ac:dyDescent="0.25">
      <c r="I425" s="114">
        <f>I424-I426</f>
        <v>0</v>
      </c>
    </row>
    <row r="426" spans="1:10" x14ac:dyDescent="0.25">
      <c r="I426" s="103">
        <f>5671.424+79</f>
        <v>5750.424</v>
      </c>
    </row>
    <row r="428" spans="1:10" x14ac:dyDescent="0.25">
      <c r="H428" s="114">
        <f>H424-H430</f>
        <v>0</v>
      </c>
    </row>
    <row r="430" spans="1:10" x14ac:dyDescent="0.25">
      <c r="H430" s="114">
        <f>SUM(H432:H441)</f>
        <v>158634.74799999999</v>
      </c>
      <c r="I430" s="114">
        <f>SUM(I432:I441)</f>
        <v>5750.424</v>
      </c>
      <c r="J430" s="114">
        <f>SUM(J432:J441)</f>
        <v>162335.976</v>
      </c>
    </row>
    <row r="432" spans="1:10" x14ac:dyDescent="0.25">
      <c r="C432" s="115" t="s">
        <v>6</v>
      </c>
      <c r="H432" s="114">
        <f>H5+H384</f>
        <v>13831.944</v>
      </c>
      <c r="I432" s="114">
        <f>I5+I384</f>
        <v>-29.5</v>
      </c>
      <c r="J432" s="114">
        <f>J5+J384</f>
        <v>13160.332999999999</v>
      </c>
    </row>
    <row r="433" spans="3:10" x14ac:dyDescent="0.25">
      <c r="C433" s="115" t="s">
        <v>51</v>
      </c>
      <c r="H433" s="114">
        <f>H392</f>
        <v>297.89999999999998</v>
      </c>
      <c r="I433" s="114">
        <f>I392</f>
        <v>4.5</v>
      </c>
      <c r="J433" s="114">
        <f>J392</f>
        <v>302.39999999999998</v>
      </c>
    </row>
    <row r="434" spans="3:10" x14ac:dyDescent="0.25">
      <c r="C434" s="115" t="s">
        <v>8</v>
      </c>
      <c r="H434" s="114">
        <f>H55</f>
        <v>496.8</v>
      </c>
      <c r="I434" s="114">
        <f>I55</f>
        <v>0</v>
      </c>
      <c r="J434" s="114">
        <f>J55</f>
        <v>448.51299999999998</v>
      </c>
    </row>
    <row r="435" spans="3:10" x14ac:dyDescent="0.25">
      <c r="C435" s="115" t="s">
        <v>18</v>
      </c>
      <c r="H435" s="114">
        <f>H70</f>
        <v>842.5</v>
      </c>
      <c r="I435" s="114">
        <f>I70</f>
        <v>578.85300000000007</v>
      </c>
      <c r="J435" s="114">
        <f>J70</f>
        <v>1398.0530000000001</v>
      </c>
    </row>
    <row r="436" spans="3:10" x14ac:dyDescent="0.25">
      <c r="C436" s="115" t="s">
        <v>82</v>
      </c>
      <c r="H436" s="114">
        <f>H106</f>
        <v>20</v>
      </c>
      <c r="I436" s="114">
        <f>I106</f>
        <v>0</v>
      </c>
      <c r="J436" s="114">
        <f>J106</f>
        <v>0</v>
      </c>
    </row>
    <row r="437" spans="3:10" x14ac:dyDescent="0.25">
      <c r="C437" s="115" t="s">
        <v>93</v>
      </c>
      <c r="H437" s="114">
        <f>H111+H188</f>
        <v>106870.6</v>
      </c>
      <c r="I437" s="114">
        <f>I111+I188</f>
        <v>4520.2709999999997</v>
      </c>
      <c r="J437" s="114">
        <f>J111+J188</f>
        <v>109326.575</v>
      </c>
    </row>
    <row r="438" spans="3:10" x14ac:dyDescent="0.25">
      <c r="C438" s="115" t="s">
        <v>202</v>
      </c>
      <c r="H438" s="114">
        <f>H121+H399</f>
        <v>4441.9039999999995</v>
      </c>
      <c r="I438" s="114">
        <f>I121+I399</f>
        <v>0</v>
      </c>
      <c r="J438" s="114">
        <f>J121+J399</f>
        <v>4366.0779999999995</v>
      </c>
    </row>
    <row r="439" spans="3:10" x14ac:dyDescent="0.25">
      <c r="C439" s="115" t="s">
        <v>46</v>
      </c>
      <c r="H439" s="114">
        <f>H163+H350</f>
        <v>7320.0999999999985</v>
      </c>
      <c r="I439" s="114">
        <f>I163+I350</f>
        <v>676.3</v>
      </c>
      <c r="J439" s="114">
        <f>J163+J350</f>
        <v>8821.0239999999994</v>
      </c>
    </row>
    <row r="440" spans="3:10" x14ac:dyDescent="0.25">
      <c r="C440" s="115" t="s">
        <v>27</v>
      </c>
      <c r="H440" s="114">
        <f>H179</f>
        <v>424</v>
      </c>
      <c r="I440" s="114">
        <f>I179</f>
        <v>0</v>
      </c>
      <c r="J440" s="114">
        <f>J179</f>
        <v>424</v>
      </c>
    </row>
    <row r="441" spans="3:10" x14ac:dyDescent="0.25">
      <c r="C441" s="115" t="s">
        <v>276</v>
      </c>
      <c r="H441" s="114">
        <f>H409</f>
        <v>24089</v>
      </c>
      <c r="I441" s="114">
        <f>I409</f>
        <v>0</v>
      </c>
      <c r="J441" s="114">
        <f>J409</f>
        <v>24089</v>
      </c>
    </row>
    <row r="442" spans="3:10" x14ac:dyDescent="0.25">
      <c r="C442" s="115"/>
    </row>
    <row r="443" spans="3:10" x14ac:dyDescent="0.25">
      <c r="C443" s="115"/>
    </row>
    <row r="444" spans="3:10" x14ac:dyDescent="0.25">
      <c r="C444" s="115"/>
    </row>
    <row r="445" spans="3:10" x14ac:dyDescent="0.25">
      <c r="C445" s="115"/>
    </row>
    <row r="446" spans="3:10" x14ac:dyDescent="0.25">
      <c r="C446" s="115"/>
    </row>
    <row r="447" spans="3:10" x14ac:dyDescent="0.25">
      <c r="C447" s="115"/>
    </row>
    <row r="448" spans="3:10" x14ac:dyDescent="0.25">
      <c r="C448" s="115"/>
    </row>
    <row r="449" spans="3:3" x14ac:dyDescent="0.25">
      <c r="C449" s="115"/>
    </row>
    <row r="450" spans="3:3" x14ac:dyDescent="0.25">
      <c r="C450" s="115"/>
    </row>
    <row r="451" spans="3:3" x14ac:dyDescent="0.25">
      <c r="C451" s="115"/>
    </row>
    <row r="452" spans="3:3" x14ac:dyDescent="0.25">
      <c r="C452" s="115"/>
    </row>
    <row r="453" spans="3:3" x14ac:dyDescent="0.25">
      <c r="C453" s="115"/>
    </row>
  </sheetData>
  <mergeCells count="277">
    <mergeCell ref="A421:B421"/>
    <mergeCell ref="A422:B422"/>
    <mergeCell ref="A424:B424"/>
    <mergeCell ref="A1:J1"/>
    <mergeCell ref="A208:B208"/>
    <mergeCell ref="A209:B209"/>
    <mergeCell ref="A358:B358"/>
    <mergeCell ref="A359:B359"/>
    <mergeCell ref="A406:B406"/>
    <mergeCell ref="A407:B407"/>
    <mergeCell ref="A413:B413"/>
    <mergeCell ref="A415:B415"/>
    <mergeCell ref="A416:B416"/>
    <mergeCell ref="A417:B417"/>
    <mergeCell ref="A419:B419"/>
    <mergeCell ref="A420:B420"/>
    <mergeCell ref="A402:B402"/>
    <mergeCell ref="A403:B403"/>
    <mergeCell ref="A409:B409"/>
    <mergeCell ref="A410:B410"/>
    <mergeCell ref="A411:B411"/>
    <mergeCell ref="A412:B412"/>
    <mergeCell ref="A394:B394"/>
    <mergeCell ref="A395:B395"/>
    <mergeCell ref="A396:B396"/>
    <mergeCell ref="A399:B399"/>
    <mergeCell ref="A400:B400"/>
    <mergeCell ref="A401:B401"/>
    <mergeCell ref="A386:B386"/>
    <mergeCell ref="A387:B387"/>
    <mergeCell ref="A388:B388"/>
    <mergeCell ref="A390:B390"/>
    <mergeCell ref="A392:B392"/>
    <mergeCell ref="A393:B393"/>
    <mergeCell ref="A378:B378"/>
    <mergeCell ref="A379:B379"/>
    <mergeCell ref="A381:B381"/>
    <mergeCell ref="A383:B383"/>
    <mergeCell ref="A384:B384"/>
    <mergeCell ref="A385:B385"/>
    <mergeCell ref="A369:B369"/>
    <mergeCell ref="A371:B371"/>
    <mergeCell ref="A372:B372"/>
    <mergeCell ref="A374:B374"/>
    <mergeCell ref="A376:B376"/>
    <mergeCell ref="A377:B377"/>
    <mergeCell ref="A361:B361"/>
    <mergeCell ref="A363:B363"/>
    <mergeCell ref="A364:B364"/>
    <mergeCell ref="A365:B365"/>
    <mergeCell ref="A366:B366"/>
    <mergeCell ref="A368:B368"/>
    <mergeCell ref="A350:B350"/>
    <mergeCell ref="A351:B351"/>
    <mergeCell ref="A352:B352"/>
    <mergeCell ref="A353:B353"/>
    <mergeCell ref="A355:B355"/>
    <mergeCell ref="A357:B357"/>
    <mergeCell ref="A339:B339"/>
    <mergeCell ref="A341:B341"/>
    <mergeCell ref="A342:B342"/>
    <mergeCell ref="A344:B344"/>
    <mergeCell ref="A346:B346"/>
    <mergeCell ref="A348:B348"/>
    <mergeCell ref="A330:B330"/>
    <mergeCell ref="A332:B332"/>
    <mergeCell ref="A333:B333"/>
    <mergeCell ref="A334:B334"/>
    <mergeCell ref="A336:B336"/>
    <mergeCell ref="A337:B337"/>
    <mergeCell ref="A320:B320"/>
    <mergeCell ref="A322:B322"/>
    <mergeCell ref="A324:B324"/>
    <mergeCell ref="A325:B325"/>
    <mergeCell ref="A326:B326"/>
    <mergeCell ref="A328:B328"/>
    <mergeCell ref="A312:B312"/>
    <mergeCell ref="A313:B313"/>
    <mergeCell ref="A315:B315"/>
    <mergeCell ref="A316:B316"/>
    <mergeCell ref="A318:B318"/>
    <mergeCell ref="A319:B319"/>
    <mergeCell ref="A304:B304"/>
    <mergeCell ref="A306:B306"/>
    <mergeCell ref="A307:B307"/>
    <mergeCell ref="A308:B308"/>
    <mergeCell ref="A310:B310"/>
    <mergeCell ref="A311:B311"/>
    <mergeCell ref="A295:B295"/>
    <mergeCell ref="A296:B296"/>
    <mergeCell ref="A298:B298"/>
    <mergeCell ref="A299:B299"/>
    <mergeCell ref="A300:B300"/>
    <mergeCell ref="A302:B302"/>
    <mergeCell ref="A284:B284"/>
    <mergeCell ref="A285:B285"/>
    <mergeCell ref="A287:B287"/>
    <mergeCell ref="A289:B289"/>
    <mergeCell ref="A291:B291"/>
    <mergeCell ref="A293:B293"/>
    <mergeCell ref="A267:B267"/>
    <mergeCell ref="A271:B271"/>
    <mergeCell ref="A273:B273"/>
    <mergeCell ref="A277:B277"/>
    <mergeCell ref="A281:B281"/>
    <mergeCell ref="A283:B283"/>
    <mergeCell ref="A255:B255"/>
    <mergeCell ref="A257:B257"/>
    <mergeCell ref="A259:B259"/>
    <mergeCell ref="A261:B261"/>
    <mergeCell ref="A262:B262"/>
    <mergeCell ref="A263:B263"/>
    <mergeCell ref="A243:B243"/>
    <mergeCell ref="A245:B245"/>
    <mergeCell ref="A247:B247"/>
    <mergeCell ref="A249:B249"/>
    <mergeCell ref="A251:B251"/>
    <mergeCell ref="A253:B253"/>
    <mergeCell ref="A231:B231"/>
    <mergeCell ref="A233:B233"/>
    <mergeCell ref="A235:B235"/>
    <mergeCell ref="A237:B237"/>
    <mergeCell ref="A239:B239"/>
    <mergeCell ref="A241:B241"/>
    <mergeCell ref="A219:B219"/>
    <mergeCell ref="A221:B221"/>
    <mergeCell ref="A223:B223"/>
    <mergeCell ref="A225:B225"/>
    <mergeCell ref="A227:B227"/>
    <mergeCell ref="A229:B229"/>
    <mergeCell ref="A211:B211"/>
    <mergeCell ref="A212:B212"/>
    <mergeCell ref="A214:B214"/>
    <mergeCell ref="A216:B216"/>
    <mergeCell ref="A217:B217"/>
    <mergeCell ref="A218:B218"/>
    <mergeCell ref="A197:B197"/>
    <mergeCell ref="A199:B199"/>
    <mergeCell ref="A201:B201"/>
    <mergeCell ref="A203:B203"/>
    <mergeCell ref="A205:B205"/>
    <mergeCell ref="A207:B207"/>
    <mergeCell ref="A189:B189"/>
    <mergeCell ref="A190:B190"/>
    <mergeCell ref="A191:B191"/>
    <mergeCell ref="A193:B193"/>
    <mergeCell ref="A194:B194"/>
    <mergeCell ref="A195:B195"/>
    <mergeCell ref="A181:B181"/>
    <mergeCell ref="A182:B182"/>
    <mergeCell ref="A183:B183"/>
    <mergeCell ref="A185:B185"/>
    <mergeCell ref="A187:B187"/>
    <mergeCell ref="A188:B188"/>
    <mergeCell ref="A173:B173"/>
    <mergeCell ref="A175:B175"/>
    <mergeCell ref="A176:B176"/>
    <mergeCell ref="A177:B177"/>
    <mergeCell ref="A179:B179"/>
    <mergeCell ref="A180:B180"/>
    <mergeCell ref="A165:B165"/>
    <mergeCell ref="A166:B166"/>
    <mergeCell ref="A168:B168"/>
    <mergeCell ref="A169:B169"/>
    <mergeCell ref="A170:B170"/>
    <mergeCell ref="A172:B172"/>
    <mergeCell ref="A156:B156"/>
    <mergeCell ref="A157:B157"/>
    <mergeCell ref="A159:B159"/>
    <mergeCell ref="A160:B160"/>
    <mergeCell ref="A163:B163"/>
    <mergeCell ref="A164:B164"/>
    <mergeCell ref="A147:B147"/>
    <mergeCell ref="A149:B149"/>
    <mergeCell ref="A150:B150"/>
    <mergeCell ref="A152:B152"/>
    <mergeCell ref="A154:B154"/>
    <mergeCell ref="A155:B155"/>
    <mergeCell ref="A137:B137"/>
    <mergeCell ref="A139:B139"/>
    <mergeCell ref="A141:B141"/>
    <mergeCell ref="A143:B143"/>
    <mergeCell ref="A145:B145"/>
    <mergeCell ref="A146:B146"/>
    <mergeCell ref="A127:B127"/>
    <mergeCell ref="A129:B129"/>
    <mergeCell ref="A131:B131"/>
    <mergeCell ref="A133:B133"/>
    <mergeCell ref="A134:B134"/>
    <mergeCell ref="A135:B135"/>
    <mergeCell ref="A119:B119"/>
    <mergeCell ref="A121:B121"/>
    <mergeCell ref="A122:B122"/>
    <mergeCell ref="A123:B123"/>
    <mergeCell ref="A124:B124"/>
    <mergeCell ref="A125:B125"/>
    <mergeCell ref="A112:B112"/>
    <mergeCell ref="A113:B113"/>
    <mergeCell ref="A114:B114"/>
    <mergeCell ref="A115:B115"/>
    <mergeCell ref="A117:B117"/>
    <mergeCell ref="A118:B118"/>
    <mergeCell ref="A104:B104"/>
    <mergeCell ref="A106:B106"/>
    <mergeCell ref="A107:B107"/>
    <mergeCell ref="A108:B108"/>
    <mergeCell ref="A109:B109"/>
    <mergeCell ref="A111:B111"/>
    <mergeCell ref="A96:B96"/>
    <mergeCell ref="A98:B98"/>
    <mergeCell ref="A99:B99"/>
    <mergeCell ref="A101:B101"/>
    <mergeCell ref="A102:B102"/>
    <mergeCell ref="A103:B103"/>
    <mergeCell ref="A87:B87"/>
    <mergeCell ref="A89:B89"/>
    <mergeCell ref="A90:B90"/>
    <mergeCell ref="A91:B91"/>
    <mergeCell ref="A93:B93"/>
    <mergeCell ref="A94:B94"/>
    <mergeCell ref="A78:B78"/>
    <mergeCell ref="A79:B79"/>
    <mergeCell ref="A80:B80"/>
    <mergeCell ref="A82:B82"/>
    <mergeCell ref="A84:B84"/>
    <mergeCell ref="A85:B85"/>
    <mergeCell ref="A70:B70"/>
    <mergeCell ref="A71:B71"/>
    <mergeCell ref="A72:B72"/>
    <mergeCell ref="A73:B73"/>
    <mergeCell ref="A74:B74"/>
    <mergeCell ref="A76:B76"/>
    <mergeCell ref="A61:B61"/>
    <mergeCell ref="A62:B62"/>
    <mergeCell ref="A64:B64"/>
    <mergeCell ref="A65:B65"/>
    <mergeCell ref="A66:B66"/>
    <mergeCell ref="A68:B68"/>
    <mergeCell ref="A52:B52"/>
    <mergeCell ref="A55:B55"/>
    <mergeCell ref="A56:B56"/>
    <mergeCell ref="A57:B57"/>
    <mergeCell ref="A58:B58"/>
    <mergeCell ref="A60:B60"/>
    <mergeCell ref="A42:B42"/>
    <mergeCell ref="A43:B43"/>
    <mergeCell ref="A45:B45"/>
    <mergeCell ref="A46:B46"/>
    <mergeCell ref="A47:B47"/>
    <mergeCell ref="A49:B49"/>
    <mergeCell ref="A33:B33"/>
    <mergeCell ref="A34:B34"/>
    <mergeCell ref="A36:B36"/>
    <mergeCell ref="A38:B38"/>
    <mergeCell ref="A39:B39"/>
    <mergeCell ref="A40:B40"/>
    <mergeCell ref="A22:B22"/>
    <mergeCell ref="A24:B24"/>
    <mergeCell ref="A26:B26"/>
    <mergeCell ref="A28:B28"/>
    <mergeCell ref="A30:B30"/>
    <mergeCell ref="A32:B32"/>
    <mergeCell ref="A3:B3"/>
    <mergeCell ref="A4:B4"/>
    <mergeCell ref="A5:B5"/>
    <mergeCell ref="A13:B13"/>
    <mergeCell ref="A15:B15"/>
    <mergeCell ref="A17:B17"/>
    <mergeCell ref="A19:B19"/>
    <mergeCell ref="A20:B20"/>
    <mergeCell ref="A21:B21"/>
    <mergeCell ref="A6:B6"/>
    <mergeCell ref="A7:B7"/>
    <mergeCell ref="A8:B8"/>
    <mergeCell ref="A10:B10"/>
    <mergeCell ref="A11:B11"/>
    <mergeCell ref="A12:B12"/>
  </mergeCells>
  <pageMargins left="0.70866141732283472" right="0.11811023622047245" top="0.15748031496062992" bottom="0.19685039370078741" header="0.31496062992125984" footer="0.31496062992125984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sqref="A1:D1"/>
    </sheetView>
  </sheetViews>
  <sheetFormatPr defaultRowHeight="12.75" x14ac:dyDescent="0.25"/>
  <cols>
    <col min="1" max="1" width="26" style="2" customWidth="1"/>
    <col min="2" max="2" width="17.140625" style="2" customWidth="1"/>
    <col min="3" max="3" width="47.42578125" style="2" customWidth="1"/>
    <col min="4" max="4" width="15.5703125" style="2" customWidth="1"/>
    <col min="5" max="5" width="12.7109375" style="2" customWidth="1"/>
    <col min="6" max="256" width="9.140625" style="2"/>
    <col min="257" max="257" width="26" style="2" customWidth="1"/>
    <col min="258" max="258" width="17.140625" style="2" customWidth="1"/>
    <col min="259" max="259" width="47.42578125" style="2" customWidth="1"/>
    <col min="260" max="260" width="15.5703125" style="2" customWidth="1"/>
    <col min="261" max="261" width="12.7109375" style="2" customWidth="1"/>
    <col min="262" max="512" width="9.140625" style="2"/>
    <col min="513" max="513" width="26" style="2" customWidth="1"/>
    <col min="514" max="514" width="17.140625" style="2" customWidth="1"/>
    <col min="515" max="515" width="47.42578125" style="2" customWidth="1"/>
    <col min="516" max="516" width="15.5703125" style="2" customWidth="1"/>
    <col min="517" max="517" width="12.7109375" style="2" customWidth="1"/>
    <col min="518" max="768" width="9.140625" style="2"/>
    <col min="769" max="769" width="26" style="2" customWidth="1"/>
    <col min="770" max="770" width="17.140625" style="2" customWidth="1"/>
    <col min="771" max="771" width="47.42578125" style="2" customWidth="1"/>
    <col min="772" max="772" width="15.5703125" style="2" customWidth="1"/>
    <col min="773" max="773" width="12.7109375" style="2" customWidth="1"/>
    <col min="774" max="1024" width="9.140625" style="2"/>
    <col min="1025" max="1025" width="26" style="2" customWidth="1"/>
    <col min="1026" max="1026" width="17.140625" style="2" customWidth="1"/>
    <col min="1027" max="1027" width="47.42578125" style="2" customWidth="1"/>
    <col min="1028" max="1028" width="15.5703125" style="2" customWidth="1"/>
    <col min="1029" max="1029" width="12.7109375" style="2" customWidth="1"/>
    <col min="1030" max="1280" width="9.140625" style="2"/>
    <col min="1281" max="1281" width="26" style="2" customWidth="1"/>
    <col min="1282" max="1282" width="17.140625" style="2" customWidth="1"/>
    <col min="1283" max="1283" width="47.42578125" style="2" customWidth="1"/>
    <col min="1284" max="1284" width="15.5703125" style="2" customWidth="1"/>
    <col min="1285" max="1285" width="12.7109375" style="2" customWidth="1"/>
    <col min="1286" max="1536" width="9.140625" style="2"/>
    <col min="1537" max="1537" width="26" style="2" customWidth="1"/>
    <col min="1538" max="1538" width="17.140625" style="2" customWidth="1"/>
    <col min="1539" max="1539" width="47.42578125" style="2" customWidth="1"/>
    <col min="1540" max="1540" width="15.5703125" style="2" customWidth="1"/>
    <col min="1541" max="1541" width="12.7109375" style="2" customWidth="1"/>
    <col min="1542" max="1792" width="9.140625" style="2"/>
    <col min="1793" max="1793" width="26" style="2" customWidth="1"/>
    <col min="1794" max="1794" width="17.140625" style="2" customWidth="1"/>
    <col min="1795" max="1795" width="47.42578125" style="2" customWidth="1"/>
    <col min="1796" max="1796" width="15.5703125" style="2" customWidth="1"/>
    <col min="1797" max="1797" width="12.7109375" style="2" customWidth="1"/>
    <col min="1798" max="2048" width="9.140625" style="2"/>
    <col min="2049" max="2049" width="26" style="2" customWidth="1"/>
    <col min="2050" max="2050" width="17.140625" style="2" customWidth="1"/>
    <col min="2051" max="2051" width="47.42578125" style="2" customWidth="1"/>
    <col min="2052" max="2052" width="15.5703125" style="2" customWidth="1"/>
    <col min="2053" max="2053" width="12.7109375" style="2" customWidth="1"/>
    <col min="2054" max="2304" width="9.140625" style="2"/>
    <col min="2305" max="2305" width="26" style="2" customWidth="1"/>
    <col min="2306" max="2306" width="17.140625" style="2" customWidth="1"/>
    <col min="2307" max="2307" width="47.42578125" style="2" customWidth="1"/>
    <col min="2308" max="2308" width="15.5703125" style="2" customWidth="1"/>
    <col min="2309" max="2309" width="12.7109375" style="2" customWidth="1"/>
    <col min="2310" max="2560" width="9.140625" style="2"/>
    <col min="2561" max="2561" width="26" style="2" customWidth="1"/>
    <col min="2562" max="2562" width="17.140625" style="2" customWidth="1"/>
    <col min="2563" max="2563" width="47.42578125" style="2" customWidth="1"/>
    <col min="2564" max="2564" width="15.5703125" style="2" customWidth="1"/>
    <col min="2565" max="2565" width="12.7109375" style="2" customWidth="1"/>
    <col min="2566" max="2816" width="9.140625" style="2"/>
    <col min="2817" max="2817" width="26" style="2" customWidth="1"/>
    <col min="2818" max="2818" width="17.140625" style="2" customWidth="1"/>
    <col min="2819" max="2819" width="47.42578125" style="2" customWidth="1"/>
    <col min="2820" max="2820" width="15.5703125" style="2" customWidth="1"/>
    <col min="2821" max="2821" width="12.7109375" style="2" customWidth="1"/>
    <col min="2822" max="3072" width="9.140625" style="2"/>
    <col min="3073" max="3073" width="26" style="2" customWidth="1"/>
    <col min="3074" max="3074" width="17.140625" style="2" customWidth="1"/>
    <col min="3075" max="3075" width="47.42578125" style="2" customWidth="1"/>
    <col min="3076" max="3076" width="15.5703125" style="2" customWidth="1"/>
    <col min="3077" max="3077" width="12.7109375" style="2" customWidth="1"/>
    <col min="3078" max="3328" width="9.140625" style="2"/>
    <col min="3329" max="3329" width="26" style="2" customWidth="1"/>
    <col min="3330" max="3330" width="17.140625" style="2" customWidth="1"/>
    <col min="3331" max="3331" width="47.42578125" style="2" customWidth="1"/>
    <col min="3332" max="3332" width="15.5703125" style="2" customWidth="1"/>
    <col min="3333" max="3333" width="12.7109375" style="2" customWidth="1"/>
    <col min="3334" max="3584" width="9.140625" style="2"/>
    <col min="3585" max="3585" width="26" style="2" customWidth="1"/>
    <col min="3586" max="3586" width="17.140625" style="2" customWidth="1"/>
    <col min="3587" max="3587" width="47.42578125" style="2" customWidth="1"/>
    <col min="3588" max="3588" width="15.5703125" style="2" customWidth="1"/>
    <col min="3589" max="3589" width="12.7109375" style="2" customWidth="1"/>
    <col min="3590" max="3840" width="9.140625" style="2"/>
    <col min="3841" max="3841" width="26" style="2" customWidth="1"/>
    <col min="3842" max="3842" width="17.140625" style="2" customWidth="1"/>
    <col min="3843" max="3843" width="47.42578125" style="2" customWidth="1"/>
    <col min="3844" max="3844" width="15.5703125" style="2" customWidth="1"/>
    <col min="3845" max="3845" width="12.7109375" style="2" customWidth="1"/>
    <col min="3846" max="4096" width="9.140625" style="2"/>
    <col min="4097" max="4097" width="26" style="2" customWidth="1"/>
    <col min="4098" max="4098" width="17.140625" style="2" customWidth="1"/>
    <col min="4099" max="4099" width="47.42578125" style="2" customWidth="1"/>
    <col min="4100" max="4100" width="15.5703125" style="2" customWidth="1"/>
    <col min="4101" max="4101" width="12.7109375" style="2" customWidth="1"/>
    <col min="4102" max="4352" width="9.140625" style="2"/>
    <col min="4353" max="4353" width="26" style="2" customWidth="1"/>
    <col min="4354" max="4354" width="17.140625" style="2" customWidth="1"/>
    <col min="4355" max="4355" width="47.42578125" style="2" customWidth="1"/>
    <col min="4356" max="4356" width="15.5703125" style="2" customWidth="1"/>
    <col min="4357" max="4357" width="12.7109375" style="2" customWidth="1"/>
    <col min="4358" max="4608" width="9.140625" style="2"/>
    <col min="4609" max="4609" width="26" style="2" customWidth="1"/>
    <col min="4610" max="4610" width="17.140625" style="2" customWidth="1"/>
    <col min="4611" max="4611" width="47.42578125" style="2" customWidth="1"/>
    <col min="4612" max="4612" width="15.5703125" style="2" customWidth="1"/>
    <col min="4613" max="4613" width="12.7109375" style="2" customWidth="1"/>
    <col min="4614" max="4864" width="9.140625" style="2"/>
    <col min="4865" max="4865" width="26" style="2" customWidth="1"/>
    <col min="4866" max="4866" width="17.140625" style="2" customWidth="1"/>
    <col min="4867" max="4867" width="47.42578125" style="2" customWidth="1"/>
    <col min="4868" max="4868" width="15.5703125" style="2" customWidth="1"/>
    <col min="4869" max="4869" width="12.7109375" style="2" customWidth="1"/>
    <col min="4870" max="5120" width="9.140625" style="2"/>
    <col min="5121" max="5121" width="26" style="2" customWidth="1"/>
    <col min="5122" max="5122" width="17.140625" style="2" customWidth="1"/>
    <col min="5123" max="5123" width="47.42578125" style="2" customWidth="1"/>
    <col min="5124" max="5124" width="15.5703125" style="2" customWidth="1"/>
    <col min="5125" max="5125" width="12.7109375" style="2" customWidth="1"/>
    <col min="5126" max="5376" width="9.140625" style="2"/>
    <col min="5377" max="5377" width="26" style="2" customWidth="1"/>
    <col min="5378" max="5378" width="17.140625" style="2" customWidth="1"/>
    <col min="5379" max="5379" width="47.42578125" style="2" customWidth="1"/>
    <col min="5380" max="5380" width="15.5703125" style="2" customWidth="1"/>
    <col min="5381" max="5381" width="12.7109375" style="2" customWidth="1"/>
    <col min="5382" max="5632" width="9.140625" style="2"/>
    <col min="5633" max="5633" width="26" style="2" customWidth="1"/>
    <col min="5634" max="5634" width="17.140625" style="2" customWidth="1"/>
    <col min="5635" max="5635" width="47.42578125" style="2" customWidth="1"/>
    <col min="5636" max="5636" width="15.5703125" style="2" customWidth="1"/>
    <col min="5637" max="5637" width="12.7109375" style="2" customWidth="1"/>
    <col min="5638" max="5888" width="9.140625" style="2"/>
    <col min="5889" max="5889" width="26" style="2" customWidth="1"/>
    <col min="5890" max="5890" width="17.140625" style="2" customWidth="1"/>
    <col min="5891" max="5891" width="47.42578125" style="2" customWidth="1"/>
    <col min="5892" max="5892" width="15.5703125" style="2" customWidth="1"/>
    <col min="5893" max="5893" width="12.7109375" style="2" customWidth="1"/>
    <col min="5894" max="6144" width="9.140625" style="2"/>
    <col min="6145" max="6145" width="26" style="2" customWidth="1"/>
    <col min="6146" max="6146" width="17.140625" style="2" customWidth="1"/>
    <col min="6147" max="6147" width="47.42578125" style="2" customWidth="1"/>
    <col min="6148" max="6148" width="15.5703125" style="2" customWidth="1"/>
    <col min="6149" max="6149" width="12.7109375" style="2" customWidth="1"/>
    <col min="6150" max="6400" width="9.140625" style="2"/>
    <col min="6401" max="6401" width="26" style="2" customWidth="1"/>
    <col min="6402" max="6402" width="17.140625" style="2" customWidth="1"/>
    <col min="6403" max="6403" width="47.42578125" style="2" customWidth="1"/>
    <col min="6404" max="6404" width="15.5703125" style="2" customWidth="1"/>
    <col min="6405" max="6405" width="12.7109375" style="2" customWidth="1"/>
    <col min="6406" max="6656" width="9.140625" style="2"/>
    <col min="6657" max="6657" width="26" style="2" customWidth="1"/>
    <col min="6658" max="6658" width="17.140625" style="2" customWidth="1"/>
    <col min="6659" max="6659" width="47.42578125" style="2" customWidth="1"/>
    <col min="6660" max="6660" width="15.5703125" style="2" customWidth="1"/>
    <col min="6661" max="6661" width="12.7109375" style="2" customWidth="1"/>
    <col min="6662" max="6912" width="9.140625" style="2"/>
    <col min="6913" max="6913" width="26" style="2" customWidth="1"/>
    <col min="6914" max="6914" width="17.140625" style="2" customWidth="1"/>
    <col min="6915" max="6915" width="47.42578125" style="2" customWidth="1"/>
    <col min="6916" max="6916" width="15.5703125" style="2" customWidth="1"/>
    <col min="6917" max="6917" width="12.7109375" style="2" customWidth="1"/>
    <col min="6918" max="7168" width="9.140625" style="2"/>
    <col min="7169" max="7169" width="26" style="2" customWidth="1"/>
    <col min="7170" max="7170" width="17.140625" style="2" customWidth="1"/>
    <col min="7171" max="7171" width="47.42578125" style="2" customWidth="1"/>
    <col min="7172" max="7172" width="15.5703125" style="2" customWidth="1"/>
    <col min="7173" max="7173" width="12.7109375" style="2" customWidth="1"/>
    <col min="7174" max="7424" width="9.140625" style="2"/>
    <col min="7425" max="7425" width="26" style="2" customWidth="1"/>
    <col min="7426" max="7426" width="17.140625" style="2" customWidth="1"/>
    <col min="7427" max="7427" width="47.42578125" style="2" customWidth="1"/>
    <col min="7428" max="7428" width="15.5703125" style="2" customWidth="1"/>
    <col min="7429" max="7429" width="12.7109375" style="2" customWidth="1"/>
    <col min="7430" max="7680" width="9.140625" style="2"/>
    <col min="7681" max="7681" width="26" style="2" customWidth="1"/>
    <col min="7682" max="7682" width="17.140625" style="2" customWidth="1"/>
    <col min="7683" max="7683" width="47.42578125" style="2" customWidth="1"/>
    <col min="7684" max="7684" width="15.5703125" style="2" customWidth="1"/>
    <col min="7685" max="7685" width="12.7109375" style="2" customWidth="1"/>
    <col min="7686" max="7936" width="9.140625" style="2"/>
    <col min="7937" max="7937" width="26" style="2" customWidth="1"/>
    <col min="7938" max="7938" width="17.140625" style="2" customWidth="1"/>
    <col min="7939" max="7939" width="47.42578125" style="2" customWidth="1"/>
    <col min="7940" max="7940" width="15.5703125" style="2" customWidth="1"/>
    <col min="7941" max="7941" width="12.7109375" style="2" customWidth="1"/>
    <col min="7942" max="8192" width="9.140625" style="2"/>
    <col min="8193" max="8193" width="26" style="2" customWidth="1"/>
    <col min="8194" max="8194" width="17.140625" style="2" customWidth="1"/>
    <col min="8195" max="8195" width="47.42578125" style="2" customWidth="1"/>
    <col min="8196" max="8196" width="15.5703125" style="2" customWidth="1"/>
    <col min="8197" max="8197" width="12.7109375" style="2" customWidth="1"/>
    <col min="8198" max="8448" width="9.140625" style="2"/>
    <col min="8449" max="8449" width="26" style="2" customWidth="1"/>
    <col min="8450" max="8450" width="17.140625" style="2" customWidth="1"/>
    <col min="8451" max="8451" width="47.42578125" style="2" customWidth="1"/>
    <col min="8452" max="8452" width="15.5703125" style="2" customWidth="1"/>
    <col min="8453" max="8453" width="12.7109375" style="2" customWidth="1"/>
    <col min="8454" max="8704" width="9.140625" style="2"/>
    <col min="8705" max="8705" width="26" style="2" customWidth="1"/>
    <col min="8706" max="8706" width="17.140625" style="2" customWidth="1"/>
    <col min="8707" max="8707" width="47.42578125" style="2" customWidth="1"/>
    <col min="8708" max="8708" width="15.5703125" style="2" customWidth="1"/>
    <col min="8709" max="8709" width="12.7109375" style="2" customWidth="1"/>
    <col min="8710" max="8960" width="9.140625" style="2"/>
    <col min="8961" max="8961" width="26" style="2" customWidth="1"/>
    <col min="8962" max="8962" width="17.140625" style="2" customWidth="1"/>
    <col min="8963" max="8963" width="47.42578125" style="2" customWidth="1"/>
    <col min="8964" max="8964" width="15.5703125" style="2" customWidth="1"/>
    <col min="8965" max="8965" width="12.7109375" style="2" customWidth="1"/>
    <col min="8966" max="9216" width="9.140625" style="2"/>
    <col min="9217" max="9217" width="26" style="2" customWidth="1"/>
    <col min="9218" max="9218" width="17.140625" style="2" customWidth="1"/>
    <col min="9219" max="9219" width="47.42578125" style="2" customWidth="1"/>
    <col min="9220" max="9220" width="15.5703125" style="2" customWidth="1"/>
    <col min="9221" max="9221" width="12.7109375" style="2" customWidth="1"/>
    <col min="9222" max="9472" width="9.140625" style="2"/>
    <col min="9473" max="9473" width="26" style="2" customWidth="1"/>
    <col min="9474" max="9474" width="17.140625" style="2" customWidth="1"/>
    <col min="9475" max="9475" width="47.42578125" style="2" customWidth="1"/>
    <col min="9476" max="9476" width="15.5703125" style="2" customWidth="1"/>
    <col min="9477" max="9477" width="12.7109375" style="2" customWidth="1"/>
    <col min="9478" max="9728" width="9.140625" style="2"/>
    <col min="9729" max="9729" width="26" style="2" customWidth="1"/>
    <col min="9730" max="9730" width="17.140625" style="2" customWidth="1"/>
    <col min="9731" max="9731" width="47.42578125" style="2" customWidth="1"/>
    <col min="9732" max="9732" width="15.5703125" style="2" customWidth="1"/>
    <col min="9733" max="9733" width="12.7109375" style="2" customWidth="1"/>
    <col min="9734" max="9984" width="9.140625" style="2"/>
    <col min="9985" max="9985" width="26" style="2" customWidth="1"/>
    <col min="9986" max="9986" width="17.140625" style="2" customWidth="1"/>
    <col min="9987" max="9987" width="47.42578125" style="2" customWidth="1"/>
    <col min="9988" max="9988" width="15.5703125" style="2" customWidth="1"/>
    <col min="9989" max="9989" width="12.7109375" style="2" customWidth="1"/>
    <col min="9990" max="10240" width="9.140625" style="2"/>
    <col min="10241" max="10241" width="26" style="2" customWidth="1"/>
    <col min="10242" max="10242" width="17.140625" style="2" customWidth="1"/>
    <col min="10243" max="10243" width="47.42578125" style="2" customWidth="1"/>
    <col min="10244" max="10244" width="15.5703125" style="2" customWidth="1"/>
    <col min="10245" max="10245" width="12.7109375" style="2" customWidth="1"/>
    <col min="10246" max="10496" width="9.140625" style="2"/>
    <col min="10497" max="10497" width="26" style="2" customWidth="1"/>
    <col min="10498" max="10498" width="17.140625" style="2" customWidth="1"/>
    <col min="10499" max="10499" width="47.42578125" style="2" customWidth="1"/>
    <col min="10500" max="10500" width="15.5703125" style="2" customWidth="1"/>
    <col min="10501" max="10501" width="12.7109375" style="2" customWidth="1"/>
    <col min="10502" max="10752" width="9.140625" style="2"/>
    <col min="10753" max="10753" width="26" style="2" customWidth="1"/>
    <col min="10754" max="10754" width="17.140625" style="2" customWidth="1"/>
    <col min="10755" max="10755" width="47.42578125" style="2" customWidth="1"/>
    <col min="10756" max="10756" width="15.5703125" style="2" customWidth="1"/>
    <col min="10757" max="10757" width="12.7109375" style="2" customWidth="1"/>
    <col min="10758" max="11008" width="9.140625" style="2"/>
    <col min="11009" max="11009" width="26" style="2" customWidth="1"/>
    <col min="11010" max="11010" width="17.140625" style="2" customWidth="1"/>
    <col min="11011" max="11011" width="47.42578125" style="2" customWidth="1"/>
    <col min="11012" max="11012" width="15.5703125" style="2" customWidth="1"/>
    <col min="11013" max="11013" width="12.7109375" style="2" customWidth="1"/>
    <col min="11014" max="11264" width="9.140625" style="2"/>
    <col min="11265" max="11265" width="26" style="2" customWidth="1"/>
    <col min="11266" max="11266" width="17.140625" style="2" customWidth="1"/>
    <col min="11267" max="11267" width="47.42578125" style="2" customWidth="1"/>
    <col min="11268" max="11268" width="15.5703125" style="2" customWidth="1"/>
    <col min="11269" max="11269" width="12.7109375" style="2" customWidth="1"/>
    <col min="11270" max="11520" width="9.140625" style="2"/>
    <col min="11521" max="11521" width="26" style="2" customWidth="1"/>
    <col min="11522" max="11522" width="17.140625" style="2" customWidth="1"/>
    <col min="11523" max="11523" width="47.42578125" style="2" customWidth="1"/>
    <col min="11524" max="11524" width="15.5703125" style="2" customWidth="1"/>
    <col min="11525" max="11525" width="12.7109375" style="2" customWidth="1"/>
    <col min="11526" max="11776" width="9.140625" style="2"/>
    <col min="11777" max="11777" width="26" style="2" customWidth="1"/>
    <col min="11778" max="11778" width="17.140625" style="2" customWidth="1"/>
    <col min="11779" max="11779" width="47.42578125" style="2" customWidth="1"/>
    <col min="11780" max="11780" width="15.5703125" style="2" customWidth="1"/>
    <col min="11781" max="11781" width="12.7109375" style="2" customWidth="1"/>
    <col min="11782" max="12032" width="9.140625" style="2"/>
    <col min="12033" max="12033" width="26" style="2" customWidth="1"/>
    <col min="12034" max="12034" width="17.140625" style="2" customWidth="1"/>
    <col min="12035" max="12035" width="47.42578125" style="2" customWidth="1"/>
    <col min="12036" max="12036" width="15.5703125" style="2" customWidth="1"/>
    <col min="12037" max="12037" width="12.7109375" style="2" customWidth="1"/>
    <col min="12038" max="12288" width="9.140625" style="2"/>
    <col min="12289" max="12289" width="26" style="2" customWidth="1"/>
    <col min="12290" max="12290" width="17.140625" style="2" customWidth="1"/>
    <col min="12291" max="12291" width="47.42578125" style="2" customWidth="1"/>
    <col min="12292" max="12292" width="15.5703125" style="2" customWidth="1"/>
    <col min="12293" max="12293" width="12.7109375" style="2" customWidth="1"/>
    <col min="12294" max="12544" width="9.140625" style="2"/>
    <col min="12545" max="12545" width="26" style="2" customWidth="1"/>
    <col min="12546" max="12546" width="17.140625" style="2" customWidth="1"/>
    <col min="12547" max="12547" width="47.42578125" style="2" customWidth="1"/>
    <col min="12548" max="12548" width="15.5703125" style="2" customWidth="1"/>
    <col min="12549" max="12549" width="12.7109375" style="2" customWidth="1"/>
    <col min="12550" max="12800" width="9.140625" style="2"/>
    <col min="12801" max="12801" width="26" style="2" customWidth="1"/>
    <col min="12802" max="12802" width="17.140625" style="2" customWidth="1"/>
    <col min="12803" max="12803" width="47.42578125" style="2" customWidth="1"/>
    <col min="12804" max="12804" width="15.5703125" style="2" customWidth="1"/>
    <col min="12805" max="12805" width="12.7109375" style="2" customWidth="1"/>
    <col min="12806" max="13056" width="9.140625" style="2"/>
    <col min="13057" max="13057" width="26" style="2" customWidth="1"/>
    <col min="13058" max="13058" width="17.140625" style="2" customWidth="1"/>
    <col min="13059" max="13059" width="47.42578125" style="2" customWidth="1"/>
    <col min="13060" max="13060" width="15.5703125" style="2" customWidth="1"/>
    <col min="13061" max="13061" width="12.7109375" style="2" customWidth="1"/>
    <col min="13062" max="13312" width="9.140625" style="2"/>
    <col min="13313" max="13313" width="26" style="2" customWidth="1"/>
    <col min="13314" max="13314" width="17.140625" style="2" customWidth="1"/>
    <col min="13315" max="13315" width="47.42578125" style="2" customWidth="1"/>
    <col min="13316" max="13316" width="15.5703125" style="2" customWidth="1"/>
    <col min="13317" max="13317" width="12.7109375" style="2" customWidth="1"/>
    <col min="13318" max="13568" width="9.140625" style="2"/>
    <col min="13569" max="13569" width="26" style="2" customWidth="1"/>
    <col min="13570" max="13570" width="17.140625" style="2" customWidth="1"/>
    <col min="13571" max="13571" width="47.42578125" style="2" customWidth="1"/>
    <col min="13572" max="13572" width="15.5703125" style="2" customWidth="1"/>
    <col min="13573" max="13573" width="12.7109375" style="2" customWidth="1"/>
    <col min="13574" max="13824" width="9.140625" style="2"/>
    <col min="13825" max="13825" width="26" style="2" customWidth="1"/>
    <col min="13826" max="13826" width="17.140625" style="2" customWidth="1"/>
    <col min="13827" max="13827" width="47.42578125" style="2" customWidth="1"/>
    <col min="13828" max="13828" width="15.5703125" style="2" customWidth="1"/>
    <col min="13829" max="13829" width="12.7109375" style="2" customWidth="1"/>
    <col min="13830" max="14080" width="9.140625" style="2"/>
    <col min="14081" max="14081" width="26" style="2" customWidth="1"/>
    <col min="14082" max="14082" width="17.140625" style="2" customWidth="1"/>
    <col min="14083" max="14083" width="47.42578125" style="2" customWidth="1"/>
    <col min="14084" max="14084" width="15.5703125" style="2" customWidth="1"/>
    <col min="14085" max="14085" width="12.7109375" style="2" customWidth="1"/>
    <col min="14086" max="14336" width="9.140625" style="2"/>
    <col min="14337" max="14337" width="26" style="2" customWidth="1"/>
    <col min="14338" max="14338" width="17.140625" style="2" customWidth="1"/>
    <col min="14339" max="14339" width="47.42578125" style="2" customWidth="1"/>
    <col min="14340" max="14340" width="15.5703125" style="2" customWidth="1"/>
    <col min="14341" max="14341" width="12.7109375" style="2" customWidth="1"/>
    <col min="14342" max="14592" width="9.140625" style="2"/>
    <col min="14593" max="14593" width="26" style="2" customWidth="1"/>
    <col min="14594" max="14594" width="17.140625" style="2" customWidth="1"/>
    <col min="14595" max="14595" width="47.42578125" style="2" customWidth="1"/>
    <col min="14596" max="14596" width="15.5703125" style="2" customWidth="1"/>
    <col min="14597" max="14597" width="12.7109375" style="2" customWidth="1"/>
    <col min="14598" max="14848" width="9.140625" style="2"/>
    <col min="14849" max="14849" width="26" style="2" customWidth="1"/>
    <col min="14850" max="14850" width="17.140625" style="2" customWidth="1"/>
    <col min="14851" max="14851" width="47.42578125" style="2" customWidth="1"/>
    <col min="14852" max="14852" width="15.5703125" style="2" customWidth="1"/>
    <col min="14853" max="14853" width="12.7109375" style="2" customWidth="1"/>
    <col min="14854" max="15104" width="9.140625" style="2"/>
    <col min="15105" max="15105" width="26" style="2" customWidth="1"/>
    <col min="15106" max="15106" width="17.140625" style="2" customWidth="1"/>
    <col min="15107" max="15107" width="47.42578125" style="2" customWidth="1"/>
    <col min="15108" max="15108" width="15.5703125" style="2" customWidth="1"/>
    <col min="15109" max="15109" width="12.7109375" style="2" customWidth="1"/>
    <col min="15110" max="15360" width="9.140625" style="2"/>
    <col min="15361" max="15361" width="26" style="2" customWidth="1"/>
    <col min="15362" max="15362" width="17.140625" style="2" customWidth="1"/>
    <col min="15363" max="15363" width="47.42578125" style="2" customWidth="1"/>
    <col min="15364" max="15364" width="15.5703125" style="2" customWidth="1"/>
    <col min="15365" max="15365" width="12.7109375" style="2" customWidth="1"/>
    <col min="15366" max="15616" width="9.140625" style="2"/>
    <col min="15617" max="15617" width="26" style="2" customWidth="1"/>
    <col min="15618" max="15618" width="17.140625" style="2" customWidth="1"/>
    <col min="15619" max="15619" width="47.42578125" style="2" customWidth="1"/>
    <col min="15620" max="15620" width="15.5703125" style="2" customWidth="1"/>
    <col min="15621" max="15621" width="12.7109375" style="2" customWidth="1"/>
    <col min="15622" max="15872" width="9.140625" style="2"/>
    <col min="15873" max="15873" width="26" style="2" customWidth="1"/>
    <col min="15874" max="15874" width="17.140625" style="2" customWidth="1"/>
    <col min="15875" max="15875" width="47.42578125" style="2" customWidth="1"/>
    <col min="15876" max="15876" width="15.5703125" style="2" customWidth="1"/>
    <col min="15877" max="15877" width="12.7109375" style="2" customWidth="1"/>
    <col min="15878" max="16128" width="9.140625" style="2"/>
    <col min="16129" max="16129" width="26" style="2" customWidth="1"/>
    <col min="16130" max="16130" width="17.140625" style="2" customWidth="1"/>
    <col min="16131" max="16131" width="47.42578125" style="2" customWidth="1"/>
    <col min="16132" max="16132" width="15.5703125" style="2" customWidth="1"/>
    <col min="16133" max="16133" width="12.7109375" style="2" customWidth="1"/>
    <col min="16134" max="16384" width="9.140625" style="2"/>
  </cols>
  <sheetData>
    <row r="1" spans="1:15" s="117" customFormat="1" ht="44.25" customHeight="1" x14ac:dyDescent="0.2">
      <c r="A1" s="127" t="s">
        <v>718</v>
      </c>
      <c r="B1" s="127"/>
      <c r="C1" s="127"/>
      <c r="D1" s="127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s="117" customFormat="1" x14ac:dyDescent="0.2">
      <c r="A2" s="116"/>
      <c r="D2" s="118" t="s">
        <v>283</v>
      </c>
    </row>
    <row r="3" spans="1:15" s="41" customFormat="1" ht="22.5" x14ac:dyDescent="0.25">
      <c r="A3" s="46" t="s">
        <v>697</v>
      </c>
      <c r="B3" s="131" t="s">
        <v>698</v>
      </c>
      <c r="C3" s="131"/>
      <c r="D3" s="46" t="s">
        <v>286</v>
      </c>
      <c r="E3" s="119"/>
      <c r="F3" s="119"/>
      <c r="G3" s="120"/>
      <c r="H3" s="120"/>
    </row>
    <row r="4" spans="1:15" ht="20.25" customHeight="1" x14ac:dyDescent="0.25">
      <c r="A4" s="37" t="s">
        <v>699</v>
      </c>
      <c r="B4" s="134" t="s">
        <v>700</v>
      </c>
      <c r="C4" s="134"/>
      <c r="D4" s="63">
        <f>D5+D9</f>
        <v>1949.7660000000033</v>
      </c>
    </row>
    <row r="5" spans="1:15" s="117" customFormat="1" ht="22.5" hidden="1" customHeight="1" x14ac:dyDescent="0.2">
      <c r="A5" s="37" t="s">
        <v>701</v>
      </c>
      <c r="B5" s="134" t="s">
        <v>702</v>
      </c>
      <c r="C5" s="134"/>
      <c r="D5" s="63">
        <f>D6</f>
        <v>0</v>
      </c>
    </row>
    <row r="6" spans="1:15" s="117" customFormat="1" ht="22.5" hidden="1" customHeight="1" x14ac:dyDescent="0.2">
      <c r="A6" s="37" t="s">
        <v>703</v>
      </c>
      <c r="B6" s="134" t="s">
        <v>704</v>
      </c>
      <c r="C6" s="134"/>
      <c r="D6" s="63">
        <f>D7</f>
        <v>0</v>
      </c>
    </row>
    <row r="7" spans="1:15" s="117" customFormat="1" ht="22.5" hidden="1" customHeight="1" x14ac:dyDescent="0.2">
      <c r="A7" s="37" t="s">
        <v>705</v>
      </c>
      <c r="B7" s="134" t="s">
        <v>706</v>
      </c>
      <c r="C7" s="134"/>
      <c r="D7" s="63">
        <f>D8</f>
        <v>0</v>
      </c>
    </row>
    <row r="8" spans="1:15" s="117" customFormat="1" ht="22.5" hidden="1" customHeight="1" x14ac:dyDescent="0.2">
      <c r="A8" s="37" t="s">
        <v>707</v>
      </c>
      <c r="B8" s="134" t="s">
        <v>708</v>
      </c>
      <c r="C8" s="134"/>
      <c r="D8" s="63"/>
    </row>
    <row r="9" spans="1:15" s="117" customFormat="1" ht="20.25" customHeight="1" x14ac:dyDescent="0.2">
      <c r="A9" s="37" t="s">
        <v>709</v>
      </c>
      <c r="B9" s="134" t="s">
        <v>710</v>
      </c>
      <c r="C9" s="134"/>
      <c r="D9" s="63">
        <f>D10</f>
        <v>1949.7660000000033</v>
      </c>
    </row>
    <row r="10" spans="1:15" s="117" customFormat="1" ht="20.25" customHeight="1" x14ac:dyDescent="0.2">
      <c r="A10" s="37" t="s">
        <v>711</v>
      </c>
      <c r="B10" s="134" t="s">
        <v>712</v>
      </c>
      <c r="C10" s="134"/>
      <c r="D10" s="63">
        <f>D11</f>
        <v>1949.7660000000033</v>
      </c>
    </row>
    <row r="11" spans="1:15" s="117" customFormat="1" ht="20.25" customHeight="1" x14ac:dyDescent="0.2">
      <c r="A11" s="37" t="s">
        <v>713</v>
      </c>
      <c r="B11" s="134" t="s">
        <v>714</v>
      </c>
      <c r="C11" s="134"/>
      <c r="D11" s="63">
        <f>D12</f>
        <v>1949.7660000000033</v>
      </c>
    </row>
    <row r="12" spans="1:15" s="117" customFormat="1" ht="32.25" customHeight="1" x14ac:dyDescent="0.2">
      <c r="A12" s="37" t="s">
        <v>715</v>
      </c>
      <c r="B12" s="134" t="s">
        <v>716</v>
      </c>
      <c r="C12" s="134"/>
      <c r="D12" s="63">
        <f>-Дох.!E137+Функц.!J411</f>
        <v>1949.7660000000033</v>
      </c>
    </row>
    <row r="13" spans="1:15" s="113" customFormat="1" ht="28.5" customHeight="1" x14ac:dyDescent="0.2">
      <c r="A13" s="65"/>
      <c r="B13" s="133" t="s">
        <v>717</v>
      </c>
      <c r="C13" s="133"/>
      <c r="D13" s="61">
        <f>D4</f>
        <v>1949.7660000000033</v>
      </c>
    </row>
    <row r="15" spans="1:15" x14ac:dyDescent="0.25">
      <c r="D15" s="121"/>
    </row>
    <row r="16" spans="1:15" x14ac:dyDescent="0.25">
      <c r="D16" s="121"/>
    </row>
    <row r="17" spans="3:4" x14ac:dyDescent="0.25">
      <c r="D17" s="121"/>
    </row>
    <row r="19" spans="3:4" x14ac:dyDescent="0.25">
      <c r="C19" s="122"/>
      <c r="D19" s="122"/>
    </row>
    <row r="23" spans="3:4" x14ac:dyDescent="0.25">
      <c r="C23" s="123"/>
      <c r="D23" s="123"/>
    </row>
  </sheetData>
  <mergeCells count="12">
    <mergeCell ref="B13:C13"/>
    <mergeCell ref="B6:C6"/>
    <mergeCell ref="B7:C7"/>
    <mergeCell ref="B8:C8"/>
    <mergeCell ref="B9:C9"/>
    <mergeCell ref="B10:C10"/>
    <mergeCell ref="B11:C11"/>
    <mergeCell ref="A1:D1"/>
    <mergeCell ref="B3:C3"/>
    <mergeCell ref="B4:C4"/>
    <mergeCell ref="B5:C5"/>
    <mergeCell ref="B12:C12"/>
  </mergeCells>
  <pageMargins left="0.70866141732283472" right="0.31496062992125984" top="0.15748031496062992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Дох.</vt:lpstr>
      <vt:lpstr>Функц.</vt:lpstr>
      <vt:lpstr>Вед.</vt:lpstr>
      <vt:lpstr>Ист.</vt:lpstr>
      <vt:lpstr>Дох.!Заголовки_для_печати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2011-11-12T09:40:42Z</dcterms:modified>
</cp:coreProperties>
</file>